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nskapnorge.sharepoint.com/sites/Filserver/Delte dokumenter/Statistikk og analyse/Øvrige undersøkelser/Skatt vs utbytte/2024/"/>
    </mc:Choice>
  </mc:AlternateContent>
  <xr:revisionPtr revIDLastSave="5" documentId="8_{384030F4-B831-48C7-ADB3-B3EDCA75B13F}" xr6:coauthVersionLast="47" xr6:coauthVersionMax="47" xr10:uidLastSave="{587F0928-B76E-4626-9CA7-04C1BAFFC95F}"/>
  <bookViews>
    <workbookView xWindow="-120" yWindow="-120" windowWidth="29040" windowHeight="17640" xr2:uid="{CDEC7353-A4D9-4746-8470-7573B9DEF33D}"/>
  </bookViews>
  <sheets>
    <sheet name="Lønnsinntekt" sheetId="1" r:id="rId1"/>
    <sheet name="Innslagspunkter" sheetId="4" r:id="rId2"/>
    <sheet name="Diagram marginalskatt" sheetId="3" state="hidden" r:id="rId3"/>
    <sheet name="Diagram" sheetId="2" state="hidden" r:id="rId4"/>
  </sheets>
  <definedNames>
    <definedName name="solver_adj" localSheetId="0" hidden="1">Lønnsinntekt!$C$10:$C$11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Lønnsinntekt!$C$10</definedName>
    <definedName name="solver_lhs2" localSheetId="0" hidden="1">Lønnsinntekt!$C$10</definedName>
    <definedName name="solver_lhs3" localSheetId="0" hidden="1">Lønnsinntekt!#REF!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Lønnsinntekt!$C$45</definedName>
    <definedName name="solver_pre" localSheetId="0" hidden="1">0.000001</definedName>
    <definedName name="solver_rbv" localSheetId="0" hidden="1">2</definedName>
    <definedName name="solver_rel1" localSheetId="0" hidden="1">4</definedName>
    <definedName name="solver_rel2" localSheetId="0" hidden="1">3</definedName>
    <definedName name="solver_rel3" localSheetId="0" hidden="1">2</definedName>
    <definedName name="solver_rhs1" localSheetId="0" hidden="1">"heltall"</definedName>
    <definedName name="solver_rhs2" localSheetId="0" hidden="1">1</definedName>
    <definedName name="solver_rhs3" localSheetId="0" hidden="1">Lønnsinntekt!$C$4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C18" i="1"/>
  <c r="M20" i="1" l="1" a="1"/>
  <c r="M20" i="1" s="1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4" i="3"/>
  <c r="T25" i="1" l="1" a="1"/>
  <c r="T25" i="1" s="1"/>
  <c r="C6" i="3" l="1"/>
  <c r="D6" i="3" s="1"/>
  <c r="D13" i="3"/>
  <c r="D10" i="3"/>
  <c r="B12" i="4"/>
  <c r="B9" i="4"/>
  <c r="B11" i="4"/>
  <c r="C12" i="4"/>
  <c r="C9" i="4"/>
  <c r="C11" i="4"/>
  <c r="B13" i="4"/>
  <c r="B10" i="4"/>
  <c r="C8" i="4"/>
  <c r="D11" i="3"/>
  <c r="F6" i="1"/>
  <c r="C13" i="4"/>
  <c r="C10" i="4"/>
  <c r="B8" i="4"/>
  <c r="D12" i="3"/>
  <c r="T26" i="1"/>
  <c r="C34" i="1" s="1"/>
  <c r="C11" i="3" l="1"/>
  <c r="C16" i="3"/>
  <c r="C7" i="1"/>
  <c r="C11" i="1" s="1"/>
  <c r="C40" i="1" l="1"/>
  <c r="F7" i="1"/>
  <c r="G7" i="1" s="1"/>
  <c r="C23" i="3"/>
  <c r="C22" i="3"/>
  <c r="C21" i="3"/>
  <c r="C20" i="3"/>
  <c r="C19" i="3"/>
  <c r="C18" i="3"/>
  <c r="C17" i="3"/>
  <c r="C15" i="3"/>
  <c r="C14" i="3"/>
  <c r="C13" i="3"/>
  <c r="C10" i="3"/>
  <c r="C9" i="3"/>
  <c r="D9" i="3" s="1"/>
  <c r="C8" i="3"/>
  <c r="C7" i="3"/>
  <c r="D7" i="3" s="1"/>
  <c r="C5" i="3"/>
  <c r="D5" i="3" s="1"/>
  <c r="C4" i="3"/>
  <c r="D8" i="3" l="1"/>
  <c r="H7" i="1"/>
  <c r="F8" i="1"/>
  <c r="H8" i="1" l="1"/>
  <c r="F9" i="1"/>
  <c r="G8" i="1"/>
  <c r="F10" i="1" l="1"/>
  <c r="F11" i="1" s="1"/>
  <c r="H9" i="1"/>
  <c r="G9" i="1"/>
  <c r="C8" i="1"/>
  <c r="B18" i="2"/>
  <c r="B25" i="2" s="1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H10" i="1" l="1"/>
  <c r="G10" i="1"/>
  <c r="B20" i="2"/>
  <c r="B23" i="2"/>
  <c r="B19" i="2"/>
  <c r="B24" i="2"/>
  <c r="B22" i="2"/>
  <c r="B21" i="2"/>
  <c r="H11" i="1" l="1"/>
  <c r="F12" i="1"/>
  <c r="G11" i="1"/>
  <c r="H6" i="1"/>
  <c r="I7" i="1" s="1"/>
  <c r="H12" i="1" l="1"/>
  <c r="G12" i="1"/>
  <c r="I8" i="1"/>
  <c r="I9" i="1" s="1"/>
  <c r="I10" i="1" s="1"/>
  <c r="I11" i="1" s="1"/>
  <c r="C26" i="1"/>
  <c r="C31" i="1" l="1"/>
  <c r="C17" i="1"/>
  <c r="L6" i="1" s="1"/>
  <c r="I12" i="1"/>
  <c r="C28" i="1"/>
  <c r="C27" i="1"/>
  <c r="C24" i="1"/>
  <c r="L11" i="1"/>
  <c r="C25" i="1"/>
  <c r="L10" i="1" l="1"/>
  <c r="L9" i="1"/>
  <c r="J6" i="1"/>
  <c r="L12" i="1"/>
  <c r="L8" i="1"/>
  <c r="L7" i="1"/>
  <c r="C19" i="1"/>
  <c r="C21" i="1" s="1"/>
  <c r="C29" i="1"/>
  <c r="C33" i="1" l="1"/>
  <c r="K7" i="1"/>
  <c r="K11" i="1"/>
  <c r="J11" i="1" s="1"/>
  <c r="D20" i="3" s="1"/>
  <c r="D21" i="3" s="1"/>
  <c r="K12" i="1"/>
  <c r="J12" i="1" s="1"/>
  <c r="D22" i="3" s="1"/>
  <c r="K9" i="1"/>
  <c r="J9" i="1" s="1"/>
  <c r="K10" i="1"/>
  <c r="J10" i="1" s="1"/>
  <c r="D18" i="3" s="1"/>
  <c r="D19" i="3" s="1"/>
  <c r="K8" i="1"/>
  <c r="J8" i="1" s="1"/>
  <c r="D14" i="3" s="1"/>
  <c r="C45" i="1" l="1"/>
  <c r="C35" i="1"/>
  <c r="J7" i="1"/>
  <c r="D23" i="3"/>
  <c r="D17" i="3"/>
  <c r="D16" i="3"/>
  <c r="D1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tc={72248041-9A96-4C66-BF47-333858B9A948}</author>
    <author>tc={C038D5A2-44C8-4040-AE77-8FBC4102F0E9}</author>
    <author>tc={DB9B121B-EE0A-4D76-9598-11FF37B0BBC4}</author>
  </authors>
  <commentList>
    <comment ref="E7" authorId="0" shapeId="0" xr:uid="{72248041-9A96-4C66-BF47-333858B9A948}">
      <text>
        <t>[Kommentartråd]
Din versjon av Excel lar deg lese denne kommentartråden. Eventuelle endringer i den vil imidlertid bli fjernet hvis filen åpnes i en nyere versjon av Excel. Finn ut mer: https://go.microsoft.com/fwlink/?linkid=870924
Kommentar:
    Minstebeløp for trygdeavgift</t>
      </text>
    </comment>
    <comment ref="E10" authorId="1" shapeId="0" xr:uid="{C038D5A2-44C8-4040-AE77-8FBC4102F0E9}">
      <text>
        <t>[Kommentartråd]
Din versjon av Excel lar deg lese denne kommentartråden. Eventuelle endringer i den vil imidlertid bli fjernet hvis filen åpnes i en nyere versjon av Excel. Finn ut mer: https://go.microsoft.com/fwlink/?linkid=870924
Kommentar:
    Optimalt minstefradrag (104 450)</t>
      </text>
    </comment>
    <comment ref="E13" authorId="2" shapeId="0" xr:uid="{DB9B121B-EE0A-4D76-9598-11FF37B0BBC4}">
      <text>
        <t>[Kommentartråd]
Din versjon av Excel lar deg lese denne kommentartråden. Eventuelle endringer i den vil imidlertid bli fjernet hvis filen åpnes i en nyere versjon av Excel. Finn ut mer: https://go.microsoft.com/fwlink/?linkid=870924
Kommentar:
    Terskelverdi for AGA sone 1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<sst xmlns="http://schemas.openxmlformats.org/spreadsheetml/2006/main" count="113" uniqueCount="78">
  <si>
    <t>Lønnsnivå</t>
  </si>
  <si>
    <t>Minstefradrag</t>
  </si>
  <si>
    <t>Sats</t>
  </si>
  <si>
    <t>Maksbeløp</t>
  </si>
  <si>
    <t>Beløp</t>
  </si>
  <si>
    <t>Trinn 1</t>
  </si>
  <si>
    <t>Innslagspunkt</t>
  </si>
  <si>
    <t>Alminnelig inntekt</t>
  </si>
  <si>
    <t>Trinn 2</t>
  </si>
  <si>
    <t>Trinn 3</t>
  </si>
  <si>
    <t>Trinn 4</t>
  </si>
  <si>
    <t>Trinn 5</t>
  </si>
  <si>
    <t>Trygdeavgift</t>
  </si>
  <si>
    <t xml:space="preserve">Sats </t>
  </si>
  <si>
    <t>Minstebeløp</t>
  </si>
  <si>
    <t>AGA trinn 1</t>
  </si>
  <si>
    <t>AGA trinn 2</t>
  </si>
  <si>
    <t>Personfradrag</t>
  </si>
  <si>
    <t>Selskapsskatt / utbytte</t>
  </si>
  <si>
    <t>Skattebegrensningsregel</t>
  </si>
  <si>
    <t>Disponibelt til lønn etter AGA</t>
  </si>
  <si>
    <t>Lønnsbeløp</t>
  </si>
  <si>
    <t>Overskudd</t>
  </si>
  <si>
    <t>Utbytteskatt</t>
  </si>
  <si>
    <t>Lønnsskatt</t>
  </si>
  <si>
    <t>Lønn</t>
  </si>
  <si>
    <t>Årsresultat</t>
  </si>
  <si>
    <t>Lønn inkl. AGA</t>
  </si>
  <si>
    <t xml:space="preserve">Fra </t>
  </si>
  <si>
    <t>Til</t>
  </si>
  <si>
    <t>Marginalskatt inkl. AGA</t>
  </si>
  <si>
    <t>AGA trinn 1, Trygdeavgift</t>
  </si>
  <si>
    <t>AGA trinn 1, Trygdeavgift, Inntektsskatt</t>
  </si>
  <si>
    <t>AGA trinn 1, Trygdeavgift, Inntektsskatt, trinn 1</t>
  </si>
  <si>
    <t>AGA trinn 1, Trygdeavgift, Inntektsskatt, trinn 1, trinn 2</t>
  </si>
  <si>
    <t>AGA trinn 1, Trygdeavgift, Inntektsskatt, trinn 1, trinn 2, trinn 3</t>
  </si>
  <si>
    <t>AGA trinn 2, Trygdeavgift, Inntektsskatt, trinn 1, trinn 2, trinn 3</t>
  </si>
  <si>
    <t>AGA trinn 2, Trygdeavgift, Inntektsskatt, trinn 1, trinn 2, trinn 3, trinn 4</t>
  </si>
  <si>
    <t>AGA trinn 2, Trygdeavgift, Inntektsskatt, trinn 1, trinn 2, trinn 3, trinn 4, trinn 5</t>
  </si>
  <si>
    <t>Selskapsskatt og utbytteskatt</t>
  </si>
  <si>
    <t>Aggregert lønn</t>
  </si>
  <si>
    <t>Skatt/AGA</t>
  </si>
  <si>
    <t>Aggregert skatt og AGA</t>
  </si>
  <si>
    <t>Disbonibelt til utbytte før selskapsskatt</t>
  </si>
  <si>
    <t>INNTEKTSGRUNNLAG</t>
  </si>
  <si>
    <t>SKATTEGRUNNLAG</t>
  </si>
  <si>
    <t>TRINNSKATT</t>
  </si>
  <si>
    <t>SUM INNTEKTSSKATT</t>
  </si>
  <si>
    <t xml:space="preserve">SUM TRINNSKATT </t>
  </si>
  <si>
    <t>SUM TRYGDEAVGIFT</t>
  </si>
  <si>
    <t>MARGINALSATSER FOR LØNNSSKATT OG AGA</t>
  </si>
  <si>
    <t>DISPONERING AV ÅRESULTAT</t>
  </si>
  <si>
    <t>RELEVANTE SATSER OG FRADRAG</t>
  </si>
  <si>
    <t>SUM SELSKAPS- OG UTBYTTESKATT</t>
  </si>
  <si>
    <t>RELEVANTE INNSLAGSPUNKTER FOR BEREGNING AV SKATT PÅ LØNN OG AGA</t>
  </si>
  <si>
    <t xml:space="preserve"> Utbytte (før selskaps- og utbytteskatt)</t>
  </si>
  <si>
    <t>1. SKATT PÅ LØNNSINNTEKT</t>
  </si>
  <si>
    <t>2. SKATT PÅ UTBYTTE</t>
  </si>
  <si>
    <t>3. TOTALT</t>
  </si>
  <si>
    <t>TOTALT SKATT OG AVGIFTER</t>
  </si>
  <si>
    <t xml:space="preserve"> Skriv inn årsresultat før skatt:</t>
  </si>
  <si>
    <t xml:space="preserve"> Angi beløp som skal utbetales i lønn:</t>
  </si>
  <si>
    <t>Marginalsatser</t>
  </si>
  <si>
    <t>Aggregert årsresultat</t>
  </si>
  <si>
    <t>Sone</t>
  </si>
  <si>
    <t xml:space="preserve"> Velg sone for AGA:</t>
  </si>
  <si>
    <t>Soner AGA</t>
  </si>
  <si>
    <t>14,1% - Sone 1 og 1a</t>
  </si>
  <si>
    <t>10,6% - Sone 2 og 1a</t>
  </si>
  <si>
    <t xml:space="preserve"> 6,4% - Sone 3</t>
  </si>
  <si>
    <t xml:space="preserve"> 5,1% - Sone 4 og 4a</t>
  </si>
  <si>
    <t xml:space="preserve"> 7,9% - Sone 4a</t>
  </si>
  <si>
    <t xml:space="preserve">    0% - sone 5</t>
  </si>
  <si>
    <t>Diagram</t>
  </si>
  <si>
    <t>SUM LØNNSKATT OG TRYGDEAVGIFT</t>
  </si>
  <si>
    <t>ARBEIDSGIVERAVGIFT</t>
  </si>
  <si>
    <t>SUM SKATT, TRYGD OG AGA</t>
  </si>
  <si>
    <t>Type skatt / avgift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</si>
</sst>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\ %"/>
    <numFmt numFmtId="165" formatCode="0.0000"/>
    <numFmt numFmtId="166" formatCode="#,##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color theme="3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FF6532"/>
      <name val="Calibri"/>
      <family val="2"/>
      <scheme val="minor"/>
    </font>
    <font>
      <b/>
      <sz val="12"/>
      <color rgb="FFFF6532"/>
      <name val="Calibri"/>
      <family val="2"/>
      <scheme val="minor"/>
    </font>
    <font>
      <b/>
      <i/>
      <sz val="11"/>
      <color rgb="FFFF3B3B"/>
      <name val="Calibri"/>
      <family val="2"/>
      <scheme val="minor"/>
    </font>
    <font>
      <i/>
      <sz val="11"/>
      <color rgb="FFFF3B3B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6"/>
      <color theme="3"/>
      <name val="Calibri"/>
      <family val="2"/>
      <scheme val="minor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/>
    <xf numFmtId="0" fontId="0" fillId="0" borderId="7" xfId="0" applyBorder="1"/>
    <xf numFmtId="3" fontId="0" fillId="0" borderId="7" xfId="0" applyNumberFormat="1" applyBorder="1" applyAlignment="1">
      <alignment horizontal="center"/>
    </xf>
    <xf numFmtId="3" fontId="0" fillId="0" borderId="0" xfId="0" applyNumberFormat="1"/>
    <xf numFmtId="0" fontId="0" fillId="2" borderId="0" xfId="0" applyFill="1"/>
    <xf numFmtId="0" fontId="0" fillId="2" borderId="0" xfId="0" applyFill="1" applyAlignment="1">
      <alignment horizontal="center"/>
    </xf>
    <xf numFmtId="3" fontId="0" fillId="2" borderId="0" xfId="0" applyNumberFormat="1" applyFill="1" applyAlignment="1">
      <alignment horizontal="center"/>
    </xf>
    <xf numFmtId="0" fontId="0" fillId="0" borderId="0" xfId="0" applyAlignment="1">
      <alignment horizontal="left"/>
    </xf>
    <xf numFmtId="3" fontId="0" fillId="0" borderId="4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10" fontId="0" fillId="0" borderId="0" xfId="1" applyNumberFormat="1" applyFont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4" xfId="1" applyNumberFormat="1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0" fillId="0" borderId="9" xfId="0" applyBorder="1"/>
    <xf numFmtId="3" fontId="0" fillId="0" borderId="9" xfId="0" applyNumberFormat="1" applyBorder="1" applyAlignment="1">
      <alignment horizontal="center"/>
    </xf>
    <xf numFmtId="0" fontId="8" fillId="0" borderId="11" xfId="0" applyFont="1" applyBorder="1"/>
    <xf numFmtId="0" fontId="0" fillId="0" borderId="11" xfId="0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9" fillId="0" borderId="10" xfId="0" applyFont="1" applyBorder="1" applyAlignment="1">
      <alignment vertical="center"/>
    </xf>
    <xf numFmtId="0" fontId="10" fillId="2" borderId="1" xfId="0" applyFont="1" applyFill="1" applyBorder="1"/>
    <xf numFmtId="0" fontId="11" fillId="2" borderId="2" xfId="0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9" fontId="0" fillId="0" borderId="12" xfId="1" applyFont="1" applyBorder="1" applyAlignment="1">
      <alignment horizontal="center"/>
    </xf>
    <xf numFmtId="164" fontId="0" fillId="0" borderId="12" xfId="1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3" fontId="5" fillId="0" borderId="12" xfId="0" applyNumberFormat="1" applyFont="1" applyBorder="1" applyAlignment="1">
      <alignment horizontal="center"/>
    </xf>
    <xf numFmtId="0" fontId="0" fillId="0" borderId="12" xfId="0" applyBorder="1"/>
    <xf numFmtId="0" fontId="4" fillId="0" borderId="0" xfId="0" applyFont="1"/>
    <xf numFmtId="10" fontId="4" fillId="0" borderId="0" xfId="1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 wrapText="1"/>
    </xf>
    <xf numFmtId="3" fontId="10" fillId="0" borderId="1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3" fontId="10" fillId="0" borderId="2" xfId="0" applyNumberFormat="1" applyFont="1" applyBorder="1"/>
    <xf numFmtId="3" fontId="10" fillId="0" borderId="3" xfId="0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3" fontId="10" fillId="0" borderId="0" xfId="0" applyNumberFormat="1" applyFont="1" applyAlignment="1">
      <alignment horizontal="center"/>
    </xf>
    <xf numFmtId="3" fontId="10" fillId="0" borderId="5" xfId="0" applyNumberFormat="1" applyFont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3" fontId="10" fillId="0" borderId="7" xfId="0" applyNumberFormat="1" applyFont="1" applyBorder="1" applyAlignment="1">
      <alignment horizontal="center"/>
    </xf>
    <xf numFmtId="3" fontId="10" fillId="0" borderId="8" xfId="0" applyNumberFormat="1" applyFont="1" applyBorder="1" applyAlignment="1">
      <alignment horizontal="center"/>
    </xf>
    <xf numFmtId="0" fontId="12" fillId="0" borderId="0" xfId="0" applyFont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11" fillId="2" borderId="3" xfId="0" applyFont="1" applyFill="1" applyBorder="1" applyAlignment="1">
      <alignment horizontal="center"/>
    </xf>
    <xf numFmtId="0" fontId="10" fillId="2" borderId="6" xfId="0" applyFont="1" applyFill="1" applyBorder="1"/>
    <xf numFmtId="9" fontId="10" fillId="2" borderId="7" xfId="1" applyFont="1" applyFill="1" applyBorder="1" applyAlignment="1">
      <alignment horizontal="center"/>
    </xf>
    <xf numFmtId="3" fontId="10" fillId="2" borderId="8" xfId="0" applyNumberFormat="1" applyFont="1" applyFill="1" applyBorder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4" xfId="0" applyFont="1" applyFill="1" applyBorder="1"/>
    <xf numFmtId="164" fontId="10" fillId="2" borderId="0" xfId="1" applyNumberFormat="1" applyFont="1" applyFill="1" applyBorder="1" applyAlignment="1">
      <alignment horizontal="center"/>
    </xf>
    <xf numFmtId="3" fontId="10" fillId="2" borderId="5" xfId="0" applyNumberFormat="1" applyFont="1" applyFill="1" applyBorder="1" applyAlignment="1">
      <alignment horizontal="center"/>
    </xf>
    <xf numFmtId="164" fontId="10" fillId="2" borderId="7" xfId="1" applyNumberFormat="1" applyFont="1" applyFill="1" applyBorder="1" applyAlignment="1">
      <alignment horizontal="center"/>
    </xf>
    <xf numFmtId="3" fontId="10" fillId="2" borderId="4" xfId="0" applyNumberFormat="1" applyFont="1" applyFill="1" applyBorder="1"/>
    <xf numFmtId="0" fontId="10" fillId="2" borderId="5" xfId="0" applyFont="1" applyFill="1" applyBorder="1" applyAlignment="1">
      <alignment horizontal="center"/>
    </xf>
    <xf numFmtId="3" fontId="10" fillId="2" borderId="6" xfId="0" applyNumberFormat="1" applyFont="1" applyFill="1" applyBorder="1"/>
    <xf numFmtId="3" fontId="10" fillId="2" borderId="0" xfId="0" applyNumberFormat="1" applyFont="1" applyFill="1"/>
    <xf numFmtId="1" fontId="10" fillId="2" borderId="0" xfId="0" applyNumberFormat="1" applyFont="1" applyFill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10" fontId="10" fillId="2" borderId="7" xfId="1" applyNumberFormat="1" applyFont="1" applyFill="1" applyBorder="1" applyAlignment="1">
      <alignment horizontal="center"/>
    </xf>
    <xf numFmtId="0" fontId="14" fillId="0" borderId="0" xfId="0" applyFont="1"/>
    <xf numFmtId="3" fontId="13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/>
    </xf>
    <xf numFmtId="0" fontId="16" fillId="0" borderId="10" xfId="0" applyFont="1" applyBorder="1"/>
    <xf numFmtId="0" fontId="17" fillId="0" borderId="2" xfId="0" applyFont="1" applyBorder="1" applyAlignment="1">
      <alignment horizontal="center"/>
    </xf>
    <xf numFmtId="10" fontId="18" fillId="0" borderId="2" xfId="1" applyNumberFormat="1" applyFont="1" applyBorder="1" applyAlignment="1">
      <alignment horizontal="center"/>
    </xf>
    <xf numFmtId="10" fontId="18" fillId="0" borderId="0" xfId="1" applyNumberFormat="1" applyFont="1" applyBorder="1" applyAlignment="1">
      <alignment horizontal="center"/>
    </xf>
    <xf numFmtId="10" fontId="18" fillId="0" borderId="7" xfId="1" applyNumberFormat="1" applyFont="1" applyBorder="1" applyAlignment="1">
      <alignment horizontal="center"/>
    </xf>
    <xf numFmtId="1" fontId="0" fillId="0" borderId="0" xfId="0" applyNumberFormat="1"/>
    <xf numFmtId="0" fontId="15" fillId="0" borderId="0" xfId="0" applyFont="1" applyAlignment="1">
      <alignment vertical="center"/>
    </xf>
    <xf numFmtId="3" fontId="15" fillId="0" borderId="0" xfId="0" applyNumberFormat="1" applyFont="1" applyAlignment="1">
      <alignment horizontal="center" vertical="center"/>
    </xf>
    <xf numFmtId="3" fontId="6" fillId="3" borderId="13" xfId="0" applyNumberFormat="1" applyFont="1" applyFill="1" applyBorder="1" applyAlignment="1" applyProtection="1">
      <alignment horizontal="center" vertical="center"/>
      <protection locked="0"/>
    </xf>
    <xf numFmtId="3" fontId="19" fillId="3" borderId="13" xfId="0" applyNumberFormat="1" applyFont="1" applyFill="1" applyBorder="1" applyAlignment="1" applyProtection="1">
      <alignment horizontal="center" vertical="center"/>
      <protection locked="0"/>
    </xf>
    <xf numFmtId="10" fontId="0" fillId="0" borderId="0" xfId="1" applyNumberFormat="1" applyFont="1" applyFill="1" applyAlignment="1">
      <alignment horizontal="center"/>
    </xf>
    <xf numFmtId="0" fontId="2" fillId="0" borderId="0" xfId="0" applyFont="1" applyAlignment="1">
      <alignment horizontal="center" wrapText="1"/>
    </xf>
    <xf numFmtId="10" fontId="0" fillId="3" borderId="0" xfId="1" applyNumberFormat="1" applyFont="1" applyFill="1" applyAlignment="1">
      <alignment horizontal="center"/>
    </xf>
    <xf numFmtId="10" fontId="0" fillId="2" borderId="0" xfId="1" applyNumberFormat="1" applyFont="1" applyFill="1" applyAlignment="1">
      <alignment horizontal="center"/>
    </xf>
    <xf numFmtId="166" fontId="0" fillId="0" borderId="0" xfId="0" applyNumberFormat="1" applyAlignment="1">
      <alignment horizontal="center"/>
    </xf>
    <xf numFmtId="165" fontId="0" fillId="0" borderId="0" xfId="0" applyNumberFormat="1"/>
    <xf numFmtId="165" fontId="0" fillId="0" borderId="0" xfId="1" applyNumberFormat="1" applyFont="1"/>
    <xf numFmtId="9" fontId="0" fillId="0" borderId="0" xfId="1" applyFont="1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0" fontId="2" fillId="0" borderId="14" xfId="0" applyFont="1" applyBorder="1" applyAlignment="1">
      <alignment horizontal="center" wrapText="1"/>
    </xf>
    <xf numFmtId="10" fontId="0" fillId="0" borderId="15" xfId="1" applyNumberFormat="1" applyFont="1" applyBorder="1" applyAlignment="1">
      <alignment horizontal="center"/>
    </xf>
    <xf numFmtId="10" fontId="0" fillId="0" borderId="15" xfId="1" applyNumberFormat="1" applyFont="1" applyFill="1" applyBorder="1" applyAlignment="1">
      <alignment horizontal="center"/>
    </xf>
    <xf numFmtId="10" fontId="0" fillId="2" borderId="15" xfId="1" applyNumberFormat="1" applyFont="1" applyFill="1" applyBorder="1" applyAlignment="1">
      <alignment horizontal="center"/>
    </xf>
    <xf numFmtId="10" fontId="0" fillId="0" borderId="16" xfId="1" applyNumberFormat="1" applyFont="1" applyFill="1" applyBorder="1" applyAlignment="1">
      <alignment horizontal="center"/>
    </xf>
    <xf numFmtId="0" fontId="2" fillId="3" borderId="0" xfId="0" applyFont="1" applyFill="1" applyAlignment="1">
      <alignment horizontal="center" wrapText="1"/>
    </xf>
    <xf numFmtId="49" fontId="6" fillId="3" borderId="13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/>
    <xf numFmtId="0" fontId="9" fillId="0" borderId="0" xfId="0" applyFont="1"/>
    <xf numFmtId="3" fontId="9" fillId="0" borderId="0" xfId="0" applyNumberFormat="1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0" fillId="0" borderId="0" xfId="0" applyFont="1" applyAlignment="1">
      <alignment vertical="center"/>
    </xf>
    <xf numFmtId="0" fontId="9" fillId="0" borderId="7" xfId="0" applyFont="1" applyBorder="1"/>
    <xf numFmtId="3" fontId="9" fillId="0" borderId="7" xfId="0" applyNumberFormat="1" applyFont="1" applyBorder="1" applyAlignment="1">
      <alignment horizontal="center"/>
    </xf>
    <xf numFmtId="0" fontId="7" fillId="0" borderId="17" xfId="0" applyFont="1" applyBorder="1"/>
    <xf numFmtId="3" fontId="7" fillId="0" borderId="17" xfId="0" applyNumberFormat="1" applyFont="1" applyBorder="1" applyAlignment="1">
      <alignment horizontal="center"/>
    </xf>
    <xf numFmtId="0" fontId="21" fillId="0" borderId="0" xfId="0" applyFont="1"/>
    <xf numFmtId="0" fontId="21" fillId="2" borderId="0" xfId="0" applyFont="1" applyFill="1"/>
    <xf numFmtId="3" fontId="16" fillId="0" borderId="10" xfId="0" applyNumberFormat="1" applyFont="1" applyBorder="1" applyAlignment="1">
      <alignment horizontal="center"/>
    </xf>
    <xf numFmtId="3" fontId="9" fillId="0" borderId="10" xfId="0" applyNumberFormat="1" applyFont="1" applyBorder="1" applyAlignment="1">
      <alignment horizontal="center" vertical="center"/>
    </xf>
    <xf numFmtId="10" fontId="0" fillId="0" borderId="0" xfId="0" applyNumberForma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colors>
    <mruColors>
      <color rgb="FF0098CB"/>
      <color rgb="FFFF3B3B"/>
      <color rgb="FFFF6532"/>
      <color rgb="FF9800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på lønnsinntekt</a:t>
            </a:r>
            <a:r>
              <a:rPr lang="nb-NO" baseline="0"/>
              <a:t> vs utbytte</a:t>
            </a: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Lønnsinntekt!#REF!</c:f>
            </c:numRef>
          </c:xVal>
          <c:yVal>
            <c:numRef>
              <c:f>Lønnsinntekt!#REF!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Lønnsinntekt!#REF!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DC9-4F8C-9F35-305792C3A2F9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Lønnsinntekt!#REF!</c:f>
            </c:numRef>
          </c:xVal>
          <c:yVal>
            <c:numRef>
              <c:f>Lønnsinntekt!#REF!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Lønnsinntekt!#REF!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7DC9-4F8C-9F35-305792C3A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907400"/>
        <c:axId val="796908712"/>
      </c:scatterChart>
      <c:valAx>
        <c:axId val="796907400"/>
        <c:scaling>
          <c:orientation val="minMax"/>
          <c:max val="20000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Årsresultat til fordeling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96908712"/>
        <c:crossesAt val="0"/>
        <c:crossBetween val="midCat"/>
      </c:valAx>
      <c:valAx>
        <c:axId val="7969087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Skattebeløp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96907400"/>
        <c:crossesAt val="0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SKATTEKART</a:t>
            </a:r>
            <a:br>
              <a:rPr lang="en-US" sz="1400" b="1" i="0" baseline="0">
                <a:effectLst/>
              </a:rPr>
            </a:br>
            <a:r>
              <a:rPr lang="en-US" sz="1400" b="0" i="0" baseline="0">
                <a:effectLst/>
              </a:rPr>
              <a:t>Lønnsskatt inkl. AGA vs selskapsskatt og utbytteskatt</a:t>
            </a:r>
            <a:endParaRPr lang="nb-NO" sz="1400" b="0">
              <a:effectLst/>
            </a:endParaRPr>
          </a:p>
        </c:rich>
      </c:tx>
      <c:layout>
        <c:manualLayout>
          <c:xMode val="edge"/>
          <c:yMode val="edge"/>
          <c:x val="0.35219162379562424"/>
          <c:y val="2.6482164272024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9422139064300128E-2"/>
          <c:y val="0.14716483436585143"/>
          <c:w val="0.91589832211567612"/>
          <c:h val="0.71881006458888796"/>
        </c:manualLayout>
      </c:layout>
      <c:lineChart>
        <c:grouping val="standard"/>
        <c:varyColors val="0"/>
        <c:ser>
          <c:idx val="0"/>
          <c:order val="0"/>
          <c:tx>
            <c:strRef>
              <c:f>'Diagram marginalskatt'!$D$3</c:f>
              <c:strCache>
                <c:ptCount val="1"/>
                <c:pt idx="0">
                  <c:v>Marginalskatt inkl. AGA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'Diagram marginalskatt'!$B$4:$B$23</c:f>
              <c:numCache>
                <c:formatCode>#,##0</c:formatCode>
                <c:ptCount val="20"/>
                <c:pt idx="0">
                  <c:v>1</c:v>
                </c:pt>
                <c:pt idx="1">
                  <c:v>69650</c:v>
                </c:pt>
                <c:pt idx="2">
                  <c:v>69651</c:v>
                </c:pt>
                <c:pt idx="3">
                  <c:v>101180</c:v>
                </c:pt>
                <c:pt idx="4">
                  <c:v>163431</c:v>
                </c:pt>
                <c:pt idx="5">
                  <c:v>208050</c:v>
                </c:pt>
                <c:pt idx="6">
                  <c:v>208051</c:v>
                </c:pt>
                <c:pt idx="7">
                  <c:v>227070</c:v>
                </c:pt>
                <c:pt idx="8">
                  <c:v>227071</c:v>
                </c:pt>
                <c:pt idx="9">
                  <c:v>292850</c:v>
                </c:pt>
                <c:pt idx="10">
                  <c:v>292851</c:v>
                </c:pt>
                <c:pt idx="11">
                  <c:v>670000</c:v>
                </c:pt>
                <c:pt idx="12">
                  <c:v>670001</c:v>
                </c:pt>
                <c:pt idx="13">
                  <c:v>850000</c:v>
                </c:pt>
                <c:pt idx="14">
                  <c:v>850001</c:v>
                </c:pt>
                <c:pt idx="15">
                  <c:v>937900</c:v>
                </c:pt>
                <c:pt idx="16">
                  <c:v>937901</c:v>
                </c:pt>
                <c:pt idx="17">
                  <c:v>1350000</c:v>
                </c:pt>
                <c:pt idx="18">
                  <c:v>1350001</c:v>
                </c:pt>
                <c:pt idx="19">
                  <c:v>1680000</c:v>
                </c:pt>
              </c:numCache>
            </c:numRef>
          </c:cat>
          <c:val>
            <c:numRef>
              <c:f>Lønnsinntekt!$M$19:$M$38</c:f>
              <c:numCache>
                <c:formatCode>0.00%</c:formatCode>
                <c:ptCount val="20"/>
                <c:pt idx="1">
                  <c:v>0.12357581069237511</c:v>
                </c:pt>
                <c:pt idx="2">
                  <c:v>0.12357679217270942</c:v>
                </c:pt>
                <c:pt idx="3">
                  <c:v>0.19193689745836984</c:v>
                </c:pt>
                <c:pt idx="4">
                  <c:v>0.19194013006724644</c:v>
                </c:pt>
                <c:pt idx="5">
                  <c:v>0.21426913784166268</c:v>
                </c:pt>
                <c:pt idx="6">
                  <c:v>0.31095530237424562</c:v>
                </c:pt>
                <c:pt idx="7">
                  <c:v>0.310955302366345</c:v>
                </c:pt>
                <c:pt idx="8">
                  <c:v>0.31095530237269081</c:v>
                </c:pt>
                <c:pt idx="9">
                  <c:v>0.37976100904535914</c:v>
                </c:pt>
                <c:pt idx="10">
                  <c:v>0.41980718667835226</c:v>
                </c:pt>
                <c:pt idx="11">
                  <c:v>0.41980718667835226</c:v>
                </c:pt>
                <c:pt idx="12">
                  <c:v>0.50394390885188423</c:v>
                </c:pt>
                <c:pt idx="13">
                  <c:v>0.50394390885188423</c:v>
                </c:pt>
                <c:pt idx="14">
                  <c:v>0.52476910159529899</c:v>
                </c:pt>
                <c:pt idx="15">
                  <c:v>0.52476910159529899</c:v>
                </c:pt>
                <c:pt idx="16">
                  <c:v>0.5499580184718722</c:v>
                </c:pt>
                <c:pt idx="17">
                  <c:v>0.5499580184718722</c:v>
                </c:pt>
                <c:pt idx="18">
                  <c:v>0.55835432409739749</c:v>
                </c:pt>
                <c:pt idx="19">
                  <c:v>0.55835432409739749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4F-4E9E-8558-465162C4FAB3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rgbClr val="FF6532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3A4F-4E9E-8558-465162C4FAB3}"/>
              </c:ext>
            </c:extLst>
          </c:dPt>
          <c:dLbls>
            <c:delete val="1"/>
          </c:dLbls>
          <c:cat>
            <c:numRef>
              <c:f>'Diagram marginalskatt'!$B$4:$B$23</c:f>
              <c:numCache>
                <c:formatCode>#,##0</c:formatCode>
                <c:ptCount val="20"/>
                <c:pt idx="0">
                  <c:v>1</c:v>
                </c:pt>
                <c:pt idx="1">
                  <c:v>69650</c:v>
                </c:pt>
                <c:pt idx="2">
                  <c:v>69651</c:v>
                </c:pt>
                <c:pt idx="3">
                  <c:v>101180</c:v>
                </c:pt>
                <c:pt idx="4">
                  <c:v>163431</c:v>
                </c:pt>
                <c:pt idx="5">
                  <c:v>208050</c:v>
                </c:pt>
                <c:pt idx="6">
                  <c:v>208051</c:v>
                </c:pt>
                <c:pt idx="7">
                  <c:v>227070</c:v>
                </c:pt>
                <c:pt idx="8">
                  <c:v>227071</c:v>
                </c:pt>
                <c:pt idx="9">
                  <c:v>292850</c:v>
                </c:pt>
                <c:pt idx="10">
                  <c:v>292851</c:v>
                </c:pt>
                <c:pt idx="11">
                  <c:v>670000</c:v>
                </c:pt>
                <c:pt idx="12">
                  <c:v>670001</c:v>
                </c:pt>
                <c:pt idx="13">
                  <c:v>850000</c:v>
                </c:pt>
                <c:pt idx="14">
                  <c:v>850001</c:v>
                </c:pt>
                <c:pt idx="15">
                  <c:v>937900</c:v>
                </c:pt>
                <c:pt idx="16">
                  <c:v>937901</c:v>
                </c:pt>
                <c:pt idx="17">
                  <c:v>1350000</c:v>
                </c:pt>
                <c:pt idx="18">
                  <c:v>1350001</c:v>
                </c:pt>
                <c:pt idx="19">
                  <c:v>1680000</c:v>
                </c:pt>
              </c:numCache>
            </c:numRef>
          </c:cat>
          <c:val>
            <c:numRef>
              <c:f>Lønnsinntekt!$N$19:$N$38</c:f>
              <c:numCache>
                <c:formatCode>0.00%</c:formatCode>
                <c:ptCount val="20"/>
                <c:pt idx="0">
                  <c:v>0.51519999999999999</c:v>
                </c:pt>
                <c:pt idx="1">
                  <c:v>0.51519999999999999</c:v>
                </c:pt>
                <c:pt idx="2">
                  <c:v>0.51519999999999999</c:v>
                </c:pt>
                <c:pt idx="3">
                  <c:v>0.51519999999999999</c:v>
                </c:pt>
                <c:pt idx="4">
                  <c:v>0.51519999999999999</c:v>
                </c:pt>
                <c:pt idx="5">
                  <c:v>0.51519999999999999</c:v>
                </c:pt>
                <c:pt idx="6">
                  <c:v>0.51519999999999999</c:v>
                </c:pt>
                <c:pt idx="7">
                  <c:v>0.51519999999999999</c:v>
                </c:pt>
                <c:pt idx="8">
                  <c:v>0.51519999999999999</c:v>
                </c:pt>
                <c:pt idx="9">
                  <c:v>0.51519999999999999</c:v>
                </c:pt>
                <c:pt idx="10">
                  <c:v>0.51519999999999999</c:v>
                </c:pt>
                <c:pt idx="11">
                  <c:v>0.51519999999999999</c:v>
                </c:pt>
                <c:pt idx="12">
                  <c:v>0.51519999999999999</c:v>
                </c:pt>
                <c:pt idx="13">
                  <c:v>0.51519999999999999</c:v>
                </c:pt>
                <c:pt idx="14">
                  <c:v>0.51519999999999999</c:v>
                </c:pt>
                <c:pt idx="15">
                  <c:v>0.51519999999999999</c:v>
                </c:pt>
                <c:pt idx="16">
                  <c:v>0.51519999999999999</c:v>
                </c:pt>
                <c:pt idx="17">
                  <c:v>0.51519999999999999</c:v>
                </c:pt>
                <c:pt idx="18">
                  <c:v>0.51519999999999999</c:v>
                </c:pt>
                <c:pt idx="19">
                  <c:v>0.51519999999999999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4F-4E9E-8558-465162C4FAB3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'Diagram marginalskatt'!$B$4:$B$23</c:f>
              <c:numCache>
                <c:formatCode>#,##0</c:formatCode>
                <c:ptCount val="20"/>
                <c:pt idx="0">
                  <c:v>1</c:v>
                </c:pt>
                <c:pt idx="1">
                  <c:v>69650</c:v>
                </c:pt>
                <c:pt idx="2">
                  <c:v>69651</c:v>
                </c:pt>
                <c:pt idx="3">
                  <c:v>101180</c:v>
                </c:pt>
                <c:pt idx="4">
                  <c:v>163431</c:v>
                </c:pt>
                <c:pt idx="5">
                  <c:v>208050</c:v>
                </c:pt>
                <c:pt idx="6">
                  <c:v>208051</c:v>
                </c:pt>
                <c:pt idx="7">
                  <c:v>227070</c:v>
                </c:pt>
                <c:pt idx="8">
                  <c:v>227071</c:v>
                </c:pt>
                <c:pt idx="9">
                  <c:v>292850</c:v>
                </c:pt>
                <c:pt idx="10">
                  <c:v>292851</c:v>
                </c:pt>
                <c:pt idx="11">
                  <c:v>670000</c:v>
                </c:pt>
                <c:pt idx="12">
                  <c:v>670001</c:v>
                </c:pt>
                <c:pt idx="13">
                  <c:v>850000</c:v>
                </c:pt>
                <c:pt idx="14">
                  <c:v>850001</c:v>
                </c:pt>
                <c:pt idx="15">
                  <c:v>937900</c:v>
                </c:pt>
                <c:pt idx="16">
                  <c:v>937901</c:v>
                </c:pt>
                <c:pt idx="17">
                  <c:v>1350000</c:v>
                </c:pt>
                <c:pt idx="18">
                  <c:v>1350001</c:v>
                </c:pt>
                <c:pt idx="19">
                  <c:v>1680000</c:v>
                </c:pt>
              </c:numCache>
            </c:numRef>
          </c:cat>
          <c:val>
            <c:numRef>
              <c:f>'Diagram marginalskatt'!$M$4:$M$23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4F-4E9E-8558-465162C4FAB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30288296"/>
        <c:axId val="717684552"/>
      </c:lineChart>
      <c:dateAx>
        <c:axId val="73028829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9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17684552"/>
        <c:crosses val="autoZero"/>
        <c:auto val="0"/>
        <c:lblOffset val="100"/>
        <c:baseTimeUnit val="days"/>
      </c:dateAx>
      <c:valAx>
        <c:axId val="717684552"/>
        <c:scaling>
          <c:orientation val="minMax"/>
          <c:max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latin typeface="+mn-lt"/>
                  </a:rPr>
                  <a:t> Skattenivå</a:t>
                </a:r>
                <a:r>
                  <a:rPr lang="en-US" sz="1100" b="1" baseline="0">
                    <a:latin typeface="+mn-lt"/>
                  </a:rPr>
                  <a:t> i</a:t>
                </a:r>
                <a:r>
                  <a:rPr lang="en-US" sz="1100" b="1">
                    <a:latin typeface="+mn-lt"/>
                  </a:rPr>
                  <a:t> %</a:t>
                </a:r>
                <a:endParaRPr lang="en-US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6799286227835383E-2"/>
              <c:y val="0.4505183775233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02882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Skjæringspunkt for lønn vs</a:t>
            </a:r>
            <a:r>
              <a:rPr lang="nb-NO" baseline="0"/>
              <a:t> utbytte</a:t>
            </a: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2750472004199942"/>
          <c:y val="0.19935808625124266"/>
          <c:w val="0.83700634043835731"/>
          <c:h val="0.674527637953071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Diagram!$C$2</c:f>
              <c:strCache>
                <c:ptCount val="1"/>
                <c:pt idx="0">
                  <c:v>Lønnsskatt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6"/>
            <c:marker>
              <c:symbol val="none"/>
            </c:marker>
            <c:bubble3D val="0"/>
            <c:spPr>
              <a:ln w="19050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F8-4430-8174-FA72E243CDAB}"/>
              </c:ext>
            </c:extLst>
          </c:dPt>
          <c:dPt>
            <c:idx val="17"/>
            <c:marker>
              <c:symbol val="none"/>
            </c:marker>
            <c:bubble3D val="0"/>
            <c:spPr>
              <a:ln w="19050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4F8-4430-8174-FA72E243CDAB}"/>
              </c:ext>
            </c:extLst>
          </c:dPt>
          <c:dPt>
            <c:idx val="18"/>
            <c:marker>
              <c:symbol val="none"/>
            </c:marker>
            <c:bubble3D val="0"/>
            <c:spPr>
              <a:ln w="19050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D4F8-4430-8174-FA72E243CDAB}"/>
              </c:ext>
            </c:extLst>
          </c:dPt>
          <c:dPt>
            <c:idx val="19"/>
            <c:marker>
              <c:symbol val="none"/>
            </c:marker>
            <c:bubble3D val="0"/>
            <c:spPr>
              <a:ln w="19050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4F8-4430-8174-FA72E243CDAB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19050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4F8-4430-8174-FA72E243CDAB}"/>
              </c:ext>
            </c:extLst>
          </c:dPt>
          <c:dPt>
            <c:idx val="21"/>
            <c:marker>
              <c:symbol val="none"/>
            </c:marker>
            <c:bubble3D val="0"/>
            <c:spPr>
              <a:ln w="158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D4F8-4430-8174-FA72E243CDAB}"/>
              </c:ext>
            </c:extLst>
          </c:dPt>
          <c:xVal>
            <c:numRef>
              <c:f>Diagram!$A$3:$A$24</c:f>
              <c:numCache>
                <c:formatCode>#,##0</c:formatCode>
                <c:ptCount val="22"/>
                <c:pt idx="0">
                  <c:v>0</c:v>
                </c:pt>
                <c:pt idx="1">
                  <c:v>50000</c:v>
                </c:pt>
                <c:pt idx="2">
                  <c:v>100000</c:v>
                </c:pt>
                <c:pt idx="3">
                  <c:v>150000</c:v>
                </c:pt>
                <c:pt idx="4">
                  <c:v>200000</c:v>
                </c:pt>
                <c:pt idx="5">
                  <c:v>250000</c:v>
                </c:pt>
                <c:pt idx="6">
                  <c:v>300000</c:v>
                </c:pt>
                <c:pt idx="7">
                  <c:v>350000</c:v>
                </c:pt>
                <c:pt idx="8">
                  <c:v>400000</c:v>
                </c:pt>
                <c:pt idx="9">
                  <c:v>450000</c:v>
                </c:pt>
                <c:pt idx="10">
                  <c:v>500000</c:v>
                </c:pt>
                <c:pt idx="11">
                  <c:v>550000</c:v>
                </c:pt>
                <c:pt idx="12">
                  <c:v>600000</c:v>
                </c:pt>
                <c:pt idx="13">
                  <c:v>650000</c:v>
                </c:pt>
                <c:pt idx="14">
                  <c:v>700000</c:v>
                </c:pt>
                <c:pt idx="15">
                  <c:v>750000</c:v>
                </c:pt>
                <c:pt idx="16">
                  <c:v>800000</c:v>
                </c:pt>
                <c:pt idx="17">
                  <c:v>850000</c:v>
                </c:pt>
                <c:pt idx="18">
                  <c:v>900000</c:v>
                </c:pt>
                <c:pt idx="19">
                  <c:v>950000</c:v>
                </c:pt>
                <c:pt idx="20">
                  <c:v>1000000</c:v>
                </c:pt>
                <c:pt idx="21">
                  <c:v>2000000</c:v>
                </c:pt>
              </c:numCache>
            </c:numRef>
          </c:xVal>
          <c:yVal>
            <c:numRef>
              <c:f>Diagram!$C$3:$C$24</c:f>
              <c:numCache>
                <c:formatCode>#,##0</c:formatCode>
                <c:ptCount val="22"/>
                <c:pt idx="1">
                  <c:v>7050</c:v>
                </c:pt>
                <c:pt idx="2">
                  <c:v>21688</c:v>
                </c:pt>
                <c:pt idx="3">
                  <c:v>33308</c:v>
                </c:pt>
                <c:pt idx="4">
                  <c:v>50276</c:v>
                </c:pt>
                <c:pt idx="5">
                  <c:v>70387</c:v>
                </c:pt>
                <c:pt idx="6">
                  <c:v>93717</c:v>
                </c:pt>
                <c:pt idx="7">
                  <c:v>117717</c:v>
                </c:pt>
                <c:pt idx="8">
                  <c:v>141717</c:v>
                </c:pt>
                <c:pt idx="9">
                  <c:v>165717</c:v>
                </c:pt>
                <c:pt idx="10">
                  <c:v>189717</c:v>
                </c:pt>
                <c:pt idx="11">
                  <c:v>213696</c:v>
                </c:pt>
                <c:pt idx="12">
                  <c:v>237717</c:v>
                </c:pt>
                <c:pt idx="13">
                  <c:v>262386</c:v>
                </c:pt>
                <c:pt idx="14">
                  <c:v>291136</c:v>
                </c:pt>
                <c:pt idx="15">
                  <c:v>319886</c:v>
                </c:pt>
                <c:pt idx="16">
                  <c:v>351136</c:v>
                </c:pt>
                <c:pt idx="17">
                  <c:v>382386</c:v>
                </c:pt>
                <c:pt idx="18">
                  <c:v>413636</c:v>
                </c:pt>
                <c:pt idx="19">
                  <c:v>445582</c:v>
                </c:pt>
                <c:pt idx="20">
                  <c:v>478332</c:v>
                </c:pt>
                <c:pt idx="21">
                  <c:v>1138332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4F8-4430-8174-FA72E243CDAB}"/>
            </c:ext>
          </c:extLst>
        </c:ser>
        <c:ser>
          <c:idx val="1"/>
          <c:order val="1"/>
          <c:tx>
            <c:strRef>
              <c:f>Diagram!$D$2</c:f>
              <c:strCache>
                <c:ptCount val="1"/>
                <c:pt idx="0">
                  <c:v>Utbytteskatt</c:v>
                </c:pt>
              </c:strCache>
            </c:strRef>
          </c:tx>
          <c:spPr>
            <a:ln w="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6"/>
            <c:marker>
              <c:symbol val="none"/>
            </c:marker>
            <c:bubble3D val="0"/>
            <c:spPr>
              <a:ln w="19050" cap="rnd">
                <a:solidFill>
                  <a:schemeClr val="accent6">
                    <a:lumMod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D4F8-4430-8174-FA72E243CDAB}"/>
              </c:ext>
            </c:extLst>
          </c:dPt>
          <c:dPt>
            <c:idx val="17"/>
            <c:marker>
              <c:symbol val="none"/>
            </c:marker>
            <c:bubble3D val="0"/>
            <c:spPr>
              <a:ln w="19050" cap="rnd">
                <a:solidFill>
                  <a:schemeClr val="accent6">
                    <a:lumMod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D4F8-4430-8174-FA72E243CDAB}"/>
              </c:ext>
            </c:extLst>
          </c:dPt>
          <c:dPt>
            <c:idx val="18"/>
            <c:marker>
              <c:symbol val="none"/>
            </c:marker>
            <c:bubble3D val="0"/>
            <c:spPr>
              <a:ln w="19050" cap="rnd">
                <a:solidFill>
                  <a:schemeClr val="accent6">
                    <a:lumMod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D4F8-4430-8174-FA72E243CDAB}"/>
              </c:ext>
            </c:extLst>
          </c:dPt>
          <c:dPt>
            <c:idx val="19"/>
            <c:marker>
              <c:symbol val="none"/>
            </c:marker>
            <c:bubble3D val="0"/>
            <c:spPr>
              <a:ln w="19050" cap="rnd">
                <a:solidFill>
                  <a:schemeClr val="accent6">
                    <a:lumMod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D4F8-4430-8174-FA72E243CDAB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19050" cap="rnd">
                <a:solidFill>
                  <a:schemeClr val="accent6">
                    <a:lumMod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D4F8-4430-8174-FA72E243CDAB}"/>
              </c:ext>
            </c:extLst>
          </c:dPt>
          <c:dPt>
            <c:idx val="21"/>
            <c:marker>
              <c:symbol val="none"/>
            </c:marker>
            <c:bubble3D val="0"/>
            <c:spPr>
              <a:ln w="19050" cap="rnd">
                <a:solidFill>
                  <a:schemeClr val="accent6">
                    <a:lumMod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D4F8-4430-8174-FA72E243CDAB}"/>
              </c:ext>
            </c:extLst>
          </c:dPt>
          <c:xVal>
            <c:numRef>
              <c:f>Diagram!$A$3:$A$24</c:f>
              <c:numCache>
                <c:formatCode>#,##0</c:formatCode>
                <c:ptCount val="22"/>
                <c:pt idx="0">
                  <c:v>0</c:v>
                </c:pt>
                <c:pt idx="1">
                  <c:v>50000</c:v>
                </c:pt>
                <c:pt idx="2">
                  <c:v>100000</c:v>
                </c:pt>
                <c:pt idx="3">
                  <c:v>150000</c:v>
                </c:pt>
                <c:pt idx="4">
                  <c:v>200000</c:v>
                </c:pt>
                <c:pt idx="5">
                  <c:v>250000</c:v>
                </c:pt>
                <c:pt idx="6">
                  <c:v>300000</c:v>
                </c:pt>
                <c:pt idx="7">
                  <c:v>350000</c:v>
                </c:pt>
                <c:pt idx="8">
                  <c:v>400000</c:v>
                </c:pt>
                <c:pt idx="9">
                  <c:v>450000</c:v>
                </c:pt>
                <c:pt idx="10">
                  <c:v>500000</c:v>
                </c:pt>
                <c:pt idx="11">
                  <c:v>550000</c:v>
                </c:pt>
                <c:pt idx="12">
                  <c:v>600000</c:v>
                </c:pt>
                <c:pt idx="13">
                  <c:v>650000</c:v>
                </c:pt>
                <c:pt idx="14">
                  <c:v>700000</c:v>
                </c:pt>
                <c:pt idx="15">
                  <c:v>750000</c:v>
                </c:pt>
                <c:pt idx="16">
                  <c:v>800000</c:v>
                </c:pt>
                <c:pt idx="17">
                  <c:v>850000</c:v>
                </c:pt>
                <c:pt idx="18">
                  <c:v>900000</c:v>
                </c:pt>
                <c:pt idx="19">
                  <c:v>950000</c:v>
                </c:pt>
                <c:pt idx="20">
                  <c:v>1000000</c:v>
                </c:pt>
                <c:pt idx="21">
                  <c:v>2000000</c:v>
                </c:pt>
              </c:numCache>
            </c:numRef>
          </c:xVal>
          <c:yVal>
            <c:numRef>
              <c:f>Diagram!$D$3:$D$24</c:f>
              <c:numCache>
                <c:formatCode>#,##0</c:formatCode>
                <c:ptCount val="22"/>
                <c:pt idx="15">
                  <c:v>319866</c:v>
                </c:pt>
                <c:pt idx="16">
                  <c:v>350567</c:v>
                </c:pt>
                <c:pt idx="17">
                  <c:v>381247</c:v>
                </c:pt>
                <c:pt idx="18">
                  <c:v>411927</c:v>
                </c:pt>
                <c:pt idx="19">
                  <c:v>442607</c:v>
                </c:pt>
                <c:pt idx="20">
                  <c:v>473287</c:v>
                </c:pt>
                <c:pt idx="21">
                  <c:v>1086890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9-D4F8-4430-8174-FA72E243C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131984"/>
        <c:axId val="677132312"/>
      </c:scatterChart>
      <c:valAx>
        <c:axId val="677131984"/>
        <c:scaling>
          <c:orientation val="minMax"/>
          <c:max val="20000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b="1"/>
                  <a:t>LØNNSNIVÅ I KR</a:t>
                </a:r>
              </a:p>
            </c:rich>
          </c:tx>
          <c:layout>
            <c:manualLayout>
              <c:xMode val="edge"/>
              <c:yMode val="edge"/>
              <c:x val="0.49136344214901267"/>
              <c:y val="0.933199783850548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77132312"/>
        <c:crosses val="autoZero"/>
        <c:crossBetween val="midCat"/>
        <c:majorUnit val="250000"/>
      </c:valAx>
      <c:valAx>
        <c:axId val="677132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b="1"/>
                  <a:t>SKATTEBELASTNING I KR</a:t>
                </a:r>
              </a:p>
            </c:rich>
          </c:tx>
          <c:layout>
            <c:manualLayout>
              <c:xMode val="edge"/>
              <c:yMode val="edge"/>
              <c:x val="2.6866208320154485E-2"/>
              <c:y val="0.363563957078894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77131984"/>
        <c:crossesAt val="750000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133350</xdr:rowOff>
    </xdr:from>
    <xdr:to>
      <xdr:col>4</xdr:col>
      <xdr:colOff>0</xdr:colOff>
      <xdr:row>35</xdr:row>
      <xdr:rowOff>66675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D777D3B-17AB-F78A-B6CA-907C324C9E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400305</xdr:colOff>
      <xdr:row>13</xdr:row>
      <xdr:rowOff>130943</xdr:rowOff>
    </xdr:from>
    <xdr:to>
      <xdr:col>15</xdr:col>
      <xdr:colOff>590805</xdr:colOff>
      <xdr:row>43</xdr:row>
      <xdr:rowOff>91232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6CAD7431-F9E4-4928-AE18-AEE27A5C59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149883</xdr:colOff>
      <xdr:row>22</xdr:row>
      <xdr:rowOff>154849</xdr:rowOff>
    </xdr:from>
    <xdr:to>
      <xdr:col>9</xdr:col>
      <xdr:colOff>149883</xdr:colOff>
      <xdr:row>40</xdr:row>
      <xdr:rowOff>45191</xdr:rowOff>
    </xdr:to>
    <xdr:cxnSp macro="">
      <xdr:nvCxnSpPr>
        <xdr:cNvPr id="4" name="Rett linje 3">
          <a:extLst>
            <a:ext uri="{FF2B5EF4-FFF2-40B4-BE49-F238E27FC236}">
              <a16:creationId xmlns:a16="http://schemas.microsoft.com/office/drawing/2014/main" id="{E6929FEE-FF99-44E4-889A-3C242A25A360}"/>
            </a:ext>
          </a:extLst>
        </xdr:cNvPr>
        <xdr:cNvCxnSpPr/>
      </xdr:nvCxnSpPr>
      <xdr:spPr>
        <a:xfrm flipV="1">
          <a:off x="11389383" y="4786380"/>
          <a:ext cx="0" cy="3569374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979885</xdr:colOff>
      <xdr:row>31</xdr:row>
      <xdr:rowOff>203292</xdr:rowOff>
    </xdr:from>
    <xdr:to>
      <xdr:col>6</xdr:col>
      <xdr:colOff>979885</xdr:colOff>
      <xdr:row>40</xdr:row>
      <xdr:rowOff>45191</xdr:rowOff>
    </xdr:to>
    <xdr:cxnSp macro="">
      <xdr:nvCxnSpPr>
        <xdr:cNvPr id="5" name="Rett linje 4">
          <a:extLst>
            <a:ext uri="{FF2B5EF4-FFF2-40B4-BE49-F238E27FC236}">
              <a16:creationId xmlns:a16="http://schemas.microsoft.com/office/drawing/2014/main" id="{83C504A5-4222-41EE-A159-3744E452F76E}"/>
            </a:ext>
          </a:extLst>
        </xdr:cNvPr>
        <xdr:cNvCxnSpPr/>
      </xdr:nvCxnSpPr>
      <xdr:spPr>
        <a:xfrm flipV="1">
          <a:off x="8147448" y="6596948"/>
          <a:ext cx="0" cy="1758806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1277108</xdr:colOff>
      <xdr:row>28</xdr:row>
      <xdr:rowOff>164892</xdr:rowOff>
    </xdr:from>
    <xdr:to>
      <xdr:col>6</xdr:col>
      <xdr:colOff>1277108</xdr:colOff>
      <xdr:row>40</xdr:row>
      <xdr:rowOff>45191</xdr:rowOff>
    </xdr:to>
    <xdr:cxnSp macro="">
      <xdr:nvCxnSpPr>
        <xdr:cNvPr id="6" name="Rett linje 5">
          <a:extLst>
            <a:ext uri="{FF2B5EF4-FFF2-40B4-BE49-F238E27FC236}">
              <a16:creationId xmlns:a16="http://schemas.microsoft.com/office/drawing/2014/main" id="{0D333777-0C31-4761-853C-E84E96289AFF}"/>
            </a:ext>
          </a:extLst>
        </xdr:cNvPr>
        <xdr:cNvCxnSpPr/>
      </xdr:nvCxnSpPr>
      <xdr:spPr>
        <a:xfrm flipV="1">
          <a:off x="8444671" y="5939423"/>
          <a:ext cx="0" cy="2416331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230657</xdr:colOff>
      <xdr:row>26</xdr:row>
      <xdr:rowOff>8272</xdr:rowOff>
    </xdr:from>
    <xdr:to>
      <xdr:col>7</xdr:col>
      <xdr:colOff>230657</xdr:colOff>
      <xdr:row>40</xdr:row>
      <xdr:rowOff>45191</xdr:rowOff>
    </xdr:to>
    <xdr:cxnSp macro="">
      <xdr:nvCxnSpPr>
        <xdr:cNvPr id="7" name="Rett linje 6">
          <a:extLst>
            <a:ext uri="{FF2B5EF4-FFF2-40B4-BE49-F238E27FC236}">
              <a16:creationId xmlns:a16="http://schemas.microsoft.com/office/drawing/2014/main" id="{5BEF29FF-74EB-4B84-B8AD-76DEE8A7001A}"/>
            </a:ext>
          </a:extLst>
        </xdr:cNvPr>
        <xdr:cNvCxnSpPr/>
      </xdr:nvCxnSpPr>
      <xdr:spPr>
        <a:xfrm flipV="1">
          <a:off x="8969845" y="5401803"/>
          <a:ext cx="0" cy="2953951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202</xdr:colOff>
      <xdr:row>21</xdr:row>
      <xdr:rowOff>143919</xdr:rowOff>
    </xdr:from>
    <xdr:to>
      <xdr:col>10</xdr:col>
      <xdr:colOff>202</xdr:colOff>
      <xdr:row>40</xdr:row>
      <xdr:rowOff>45191</xdr:rowOff>
    </xdr:to>
    <xdr:cxnSp macro="">
      <xdr:nvCxnSpPr>
        <xdr:cNvPr id="8" name="Rett linje 21">
          <a:extLst>
            <a:ext uri="{FF2B5EF4-FFF2-40B4-BE49-F238E27FC236}">
              <a16:creationId xmlns:a16="http://schemas.microsoft.com/office/drawing/2014/main" id="{DC6204FF-0492-49C0-8FC6-C7D4F273E928}"/>
            </a:ext>
          </a:extLst>
        </xdr:cNvPr>
        <xdr:cNvCxnSpPr/>
      </xdr:nvCxnSpPr>
      <xdr:spPr>
        <a:xfrm flipV="1">
          <a:off x="12406515" y="4584950"/>
          <a:ext cx="0" cy="3770804"/>
        </a:xfrm>
        <a:prstGeom prst="line">
          <a:avLst/>
        </a:prstGeom>
        <a:ln w="19050">
          <a:solidFill>
            <a:srgbClr val="9800AB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157487</xdr:colOff>
      <xdr:row>19</xdr:row>
      <xdr:rowOff>190335</xdr:rowOff>
    </xdr:from>
    <xdr:to>
      <xdr:col>10</xdr:col>
      <xdr:colOff>157487</xdr:colOff>
      <xdr:row>40</xdr:row>
      <xdr:rowOff>45191</xdr:rowOff>
    </xdr:to>
    <xdr:cxnSp macro="">
      <xdr:nvCxnSpPr>
        <xdr:cNvPr id="9" name="Rett linje 8">
          <a:extLst>
            <a:ext uri="{FF2B5EF4-FFF2-40B4-BE49-F238E27FC236}">
              <a16:creationId xmlns:a16="http://schemas.microsoft.com/office/drawing/2014/main" id="{0DE2585B-A41D-4B97-8D81-B0ADECC33F61}"/>
            </a:ext>
          </a:extLst>
        </xdr:cNvPr>
        <xdr:cNvCxnSpPr/>
      </xdr:nvCxnSpPr>
      <xdr:spPr>
        <a:xfrm flipV="1">
          <a:off x="12563800" y="4250366"/>
          <a:ext cx="0" cy="4105388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381000</xdr:colOff>
      <xdr:row>35</xdr:row>
      <xdr:rowOff>75978</xdr:rowOff>
    </xdr:from>
    <xdr:to>
      <xdr:col>6</xdr:col>
      <xdr:colOff>381000</xdr:colOff>
      <xdr:row>40</xdr:row>
      <xdr:rowOff>45191</xdr:rowOff>
    </xdr:to>
    <xdr:cxnSp macro="">
      <xdr:nvCxnSpPr>
        <xdr:cNvPr id="10" name="Rett linje 9">
          <a:extLst>
            <a:ext uri="{FF2B5EF4-FFF2-40B4-BE49-F238E27FC236}">
              <a16:creationId xmlns:a16="http://schemas.microsoft.com/office/drawing/2014/main" id="{F9B38E5C-5F99-41FD-ADF3-104E047D5BC1}"/>
            </a:ext>
          </a:extLst>
        </xdr:cNvPr>
        <xdr:cNvCxnSpPr/>
      </xdr:nvCxnSpPr>
      <xdr:spPr>
        <a:xfrm flipV="1">
          <a:off x="7548563" y="7350697"/>
          <a:ext cx="0" cy="1005057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712535</xdr:colOff>
      <xdr:row>19</xdr:row>
      <xdr:rowOff>34429</xdr:rowOff>
    </xdr:from>
    <xdr:to>
      <xdr:col>10</xdr:col>
      <xdr:colOff>712535</xdr:colOff>
      <xdr:row>40</xdr:row>
      <xdr:rowOff>45191</xdr:rowOff>
    </xdr:to>
    <xdr:cxnSp macro="">
      <xdr:nvCxnSpPr>
        <xdr:cNvPr id="11" name="Rett linje 10">
          <a:extLst>
            <a:ext uri="{FF2B5EF4-FFF2-40B4-BE49-F238E27FC236}">
              <a16:creationId xmlns:a16="http://schemas.microsoft.com/office/drawing/2014/main" id="{6F97F0A7-95E6-40BE-A89E-887BC49A2C13}"/>
            </a:ext>
          </a:extLst>
        </xdr:cNvPr>
        <xdr:cNvCxnSpPr/>
      </xdr:nvCxnSpPr>
      <xdr:spPr>
        <a:xfrm flipV="1">
          <a:off x="13118848" y="4094460"/>
          <a:ext cx="0" cy="4261294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603213</xdr:colOff>
      <xdr:row>18</xdr:row>
      <xdr:rowOff>160072</xdr:rowOff>
    </xdr:from>
    <xdr:to>
      <xdr:col>12</xdr:col>
      <xdr:colOff>603213</xdr:colOff>
      <xdr:row>40</xdr:row>
      <xdr:rowOff>45191</xdr:rowOff>
    </xdr:to>
    <xdr:cxnSp macro="">
      <xdr:nvCxnSpPr>
        <xdr:cNvPr id="12" name="Rett linje 11">
          <a:extLst>
            <a:ext uri="{FF2B5EF4-FFF2-40B4-BE49-F238E27FC236}">
              <a16:creationId xmlns:a16="http://schemas.microsoft.com/office/drawing/2014/main" id="{99878838-914F-4E63-82F4-F29EC8CD4858}"/>
            </a:ext>
          </a:extLst>
        </xdr:cNvPr>
        <xdr:cNvCxnSpPr/>
      </xdr:nvCxnSpPr>
      <xdr:spPr>
        <a:xfrm flipH="1" flipV="1">
          <a:off x="15759869" y="4029603"/>
          <a:ext cx="0" cy="4326151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692727</xdr:colOff>
      <xdr:row>41</xdr:row>
      <xdr:rowOff>75767</xdr:rowOff>
    </xdr:from>
    <xdr:to>
      <xdr:col>8</xdr:col>
      <xdr:colOff>1515158</xdr:colOff>
      <xdr:row>42</xdr:row>
      <xdr:rowOff>189118</xdr:rowOff>
    </xdr:to>
    <xdr:sp macro="" textlink="">
      <xdr:nvSpPr>
        <xdr:cNvPr id="13" name="TekstSylinder 29">
          <a:extLst>
            <a:ext uri="{FF2B5EF4-FFF2-40B4-BE49-F238E27FC236}">
              <a16:creationId xmlns:a16="http://schemas.microsoft.com/office/drawing/2014/main" id="{25391178-08B9-A229-1154-3DFF91CF429E}"/>
            </a:ext>
          </a:extLst>
        </xdr:cNvPr>
        <xdr:cNvSpPr txBox="1"/>
      </xdr:nvSpPr>
      <xdr:spPr>
        <a:xfrm>
          <a:off x="9550977" y="8588736"/>
          <a:ext cx="1751119" cy="3038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nb-NO" sz="1100">
              <a:latin typeface="TSTAR" panose="02000806030000020004" pitchFamily="50" charset="0"/>
            </a:rPr>
            <a:t>Selskaps-</a:t>
          </a:r>
          <a:r>
            <a:rPr lang="nb-NO" sz="1100" baseline="0">
              <a:latin typeface="TSTAR" panose="02000806030000020004" pitchFamily="50" charset="0"/>
            </a:rPr>
            <a:t> og utbytteskatt</a:t>
          </a:r>
          <a:endParaRPr lang="nb-NO" sz="1100">
            <a:latin typeface="TSTAR" panose="02000806030000020004" pitchFamily="50" charset="0"/>
          </a:endParaRPr>
        </a:p>
      </xdr:txBody>
    </xdr:sp>
    <xdr:clientData/>
  </xdr:twoCellAnchor>
  <xdr:twoCellAnchor>
    <xdr:from>
      <xdr:col>7</xdr:col>
      <xdr:colOff>423214</xdr:colOff>
      <xdr:row>42</xdr:row>
      <xdr:rowOff>22730</xdr:rowOff>
    </xdr:from>
    <xdr:to>
      <xdr:col>7</xdr:col>
      <xdr:colOff>711214</xdr:colOff>
      <xdr:row>42</xdr:row>
      <xdr:rowOff>23813</xdr:rowOff>
    </xdr:to>
    <xdr:cxnSp macro="">
      <xdr:nvCxnSpPr>
        <xdr:cNvPr id="16" name="Rett linje 15">
          <a:extLst>
            <a:ext uri="{FF2B5EF4-FFF2-40B4-BE49-F238E27FC236}">
              <a16:creationId xmlns:a16="http://schemas.microsoft.com/office/drawing/2014/main" id="{8081C17F-0BD3-C324-B03E-6B52DA02C0DD}"/>
            </a:ext>
          </a:extLst>
        </xdr:cNvPr>
        <xdr:cNvCxnSpPr/>
      </xdr:nvCxnSpPr>
      <xdr:spPr>
        <a:xfrm>
          <a:off x="9281464" y="8726199"/>
          <a:ext cx="288000" cy="1083"/>
        </a:xfrm>
        <a:prstGeom prst="line">
          <a:avLst/>
        </a:prstGeom>
        <a:ln w="22225">
          <a:prstDash val="dash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567531</xdr:colOff>
      <xdr:row>33</xdr:row>
      <xdr:rowOff>141379</xdr:rowOff>
    </xdr:from>
    <xdr:to>
      <xdr:col>6</xdr:col>
      <xdr:colOff>567531</xdr:colOff>
      <xdr:row>40</xdr:row>
      <xdr:rowOff>45191</xdr:rowOff>
    </xdr:to>
    <xdr:cxnSp macro="">
      <xdr:nvCxnSpPr>
        <xdr:cNvPr id="23" name="Rett linje 22">
          <a:extLst>
            <a:ext uri="{FF2B5EF4-FFF2-40B4-BE49-F238E27FC236}">
              <a16:creationId xmlns:a16="http://schemas.microsoft.com/office/drawing/2014/main" id="{AE9C760A-4F0B-4A90-A20E-6BDDB2C27281}"/>
            </a:ext>
          </a:extLst>
        </xdr:cNvPr>
        <xdr:cNvCxnSpPr/>
      </xdr:nvCxnSpPr>
      <xdr:spPr>
        <a:xfrm flipV="1">
          <a:off x="7735094" y="6951754"/>
          <a:ext cx="0" cy="140400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797718</xdr:colOff>
      <xdr:row>32</xdr:row>
      <xdr:rowOff>59531</xdr:rowOff>
    </xdr:from>
    <xdr:to>
      <xdr:col>6</xdr:col>
      <xdr:colOff>785813</xdr:colOff>
      <xdr:row>33</xdr:row>
      <xdr:rowOff>119062</xdr:rowOff>
    </xdr:to>
    <xdr:sp macro="" textlink="">
      <xdr:nvSpPr>
        <xdr:cNvPr id="24" name="TekstSylinder 23">
          <a:extLst>
            <a:ext uri="{FF2B5EF4-FFF2-40B4-BE49-F238E27FC236}">
              <a16:creationId xmlns:a16="http://schemas.microsoft.com/office/drawing/2014/main" id="{F790124D-167E-9508-B7E4-4333649FE4A6}"/>
            </a:ext>
          </a:extLst>
        </xdr:cNvPr>
        <xdr:cNvSpPr txBox="1"/>
      </xdr:nvSpPr>
      <xdr:spPr>
        <a:xfrm>
          <a:off x="7203281" y="6667500"/>
          <a:ext cx="869157" cy="261937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b-NO" sz="1050"/>
            <a:t>101 180 kr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0.64801</cdr:x>
      <cdr:y>0.22574</cdr:y>
    </cdr:from>
    <cdr:to>
      <cdr:x>0.64801</cdr:x>
      <cdr:y>0.81013</cdr:y>
    </cdr:to>
    <cdr:cxnSp macro="">
      <cdr:nvCxnSpPr>
        <cdr:cNvPr id="5" name="Rett linje 4">
          <a:extLst xmlns:a="http://schemas.openxmlformats.org/drawingml/2006/main">
            <a:ext uri="{FF2B5EF4-FFF2-40B4-BE49-F238E27FC236}">
              <a16:creationId xmlns:a16="http://schemas.microsoft.com/office/drawing/2014/main" id="{66B84651-51EF-329D-B805-80B8251947FA}"/>
            </a:ext>
          </a:extLst>
        </cdr:cNvPr>
        <cdr:cNvCxnSpPr/>
      </cdr:nvCxnSpPr>
      <cdr:spPr>
        <a:xfrm xmlns:a="http://schemas.openxmlformats.org/drawingml/2006/main" flipH="1">
          <a:off x="4962525" y="1019175"/>
          <a:ext cx="0" cy="263842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2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0.53607</cdr:x>
      <cdr:y>0.14979</cdr:y>
    </cdr:from>
    <cdr:to>
      <cdr:x>0.75124</cdr:x>
      <cdr:y>0.22574</cdr:y>
    </cdr:to>
    <cdr:sp macro="" textlink="">
      <cdr:nvSpPr>
        <cdr:cNvPr id="6" name="TekstSylinder 5">
          <a:extLst xmlns:a="http://schemas.openxmlformats.org/drawingml/2006/main">
            <a:ext uri="{FF2B5EF4-FFF2-40B4-BE49-F238E27FC236}">
              <a16:creationId xmlns:a16="http://schemas.microsoft.com/office/drawing/2014/main" id="{F3788FF4-8B17-34B9-2546-28238B21D937}"/>
            </a:ext>
          </a:extLst>
        </cdr:cNvPr>
        <cdr:cNvSpPr txBox="1"/>
      </cdr:nvSpPr>
      <cdr:spPr>
        <a:xfrm xmlns:a="http://schemas.openxmlformats.org/drawingml/2006/main">
          <a:off x="4105275" y="676275"/>
          <a:ext cx="16478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nb-NO" sz="1600"/>
            <a:t>1 263 717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0.05733</cdr:x>
      <cdr:y>0.12503</cdr:y>
    </cdr:from>
    <cdr:to>
      <cdr:x>0.83535</cdr:x>
      <cdr:y>0.70212</cdr:y>
    </cdr:to>
    <cdr:grpSp>
      <cdr:nvGrpSpPr>
        <cdr:cNvPr id="11" name="Gruppe 10">
          <a:extLst xmlns:a="http://schemas.openxmlformats.org/drawingml/2006/main">
            <a:ext uri="{FF2B5EF4-FFF2-40B4-BE49-F238E27FC236}">
              <a16:creationId xmlns:a16="http://schemas.microsoft.com/office/drawing/2014/main" id="{11756139-F705-A17A-7F90-D833C10B4A76}"/>
            </a:ext>
          </a:extLst>
        </cdr:cNvPr>
        <cdr:cNvGrpSpPr/>
      </cdr:nvGrpSpPr>
      <cdr:grpSpPr>
        <a:xfrm xmlns:a="http://schemas.openxmlformats.org/drawingml/2006/main">
          <a:off x="675197" y="746009"/>
          <a:ext cx="9163039" cy="3443290"/>
          <a:chOff x="661814" y="690907"/>
          <a:chExt cx="8981638" cy="3188875"/>
        </a:xfrm>
      </cdr:grpSpPr>
      <cdr:sp macro="" textlink="">
        <cdr:nvSpPr>
          <cdr:cNvPr id="2" name="TekstSylinder 1">
            <a:extLst xmlns:a="http://schemas.openxmlformats.org/drawingml/2006/main">
              <a:ext uri="{FF2B5EF4-FFF2-40B4-BE49-F238E27FC236}">
                <a16:creationId xmlns:a16="http://schemas.microsoft.com/office/drawing/2014/main" id="{55DD250A-CAAE-E065-62ED-36ECB5848A33}"/>
              </a:ext>
            </a:extLst>
          </cdr:cNvPr>
          <cdr:cNvSpPr txBox="1"/>
        </cdr:nvSpPr>
        <cdr:spPr>
          <a:xfrm xmlns:a="http://schemas.openxmlformats.org/drawingml/2006/main">
            <a:off x="661814" y="3654605"/>
            <a:ext cx="735949" cy="22517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 anchor="ctr"/>
          <a:lstStyle xmlns:a="http://schemas.openxmlformats.org/drawingml/2006/main"/>
          <a:p xmlns:a="http://schemas.openxmlformats.org/drawingml/2006/main">
            <a:pPr algn="ctr"/>
            <a:r>
              <a:rPr lang="nb-NO" sz="1050">
                <a:latin typeface="+mn-lt"/>
              </a:rPr>
              <a:t>69 650 kr</a:t>
            </a:r>
          </a:p>
        </cdr:txBody>
      </cdr:sp>
      <cdr:sp macro="" textlink="">
        <cdr:nvSpPr>
          <cdr:cNvPr id="3" name="TekstSylinder 1">
            <a:extLst xmlns:a="http://schemas.openxmlformats.org/drawingml/2006/main">
              <a:ext uri="{FF2B5EF4-FFF2-40B4-BE49-F238E27FC236}">
                <a16:creationId xmlns:a16="http://schemas.microsoft.com/office/drawing/2014/main" id="{3B3617D7-7D18-5F8C-6F52-43D52DDD38D2}"/>
              </a:ext>
            </a:extLst>
          </cdr:cNvPr>
          <cdr:cNvSpPr txBox="1"/>
        </cdr:nvSpPr>
        <cdr:spPr>
          <a:xfrm xmlns:a="http://schemas.openxmlformats.org/drawingml/2006/main">
            <a:off x="1186765" y="3039099"/>
            <a:ext cx="786744" cy="22512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nb-NO" sz="1050">
                <a:latin typeface="+mn-lt"/>
              </a:rPr>
              <a:t>163 435 kr</a:t>
            </a:r>
          </a:p>
        </cdr:txBody>
      </cdr:sp>
      <cdr:sp macro="" textlink="">
        <cdr:nvSpPr>
          <cdr:cNvPr id="4" name="TekstSylinder 1">
            <a:extLst xmlns:a="http://schemas.openxmlformats.org/drawingml/2006/main">
              <a:ext uri="{FF2B5EF4-FFF2-40B4-BE49-F238E27FC236}">
                <a16:creationId xmlns:a16="http://schemas.microsoft.com/office/drawing/2014/main" id="{92350181-210B-C71B-32C5-0A91AFAC6BD3}"/>
              </a:ext>
            </a:extLst>
          </cdr:cNvPr>
          <cdr:cNvSpPr txBox="1"/>
        </cdr:nvSpPr>
        <cdr:spPr>
          <a:xfrm xmlns:a="http://schemas.openxmlformats.org/drawingml/2006/main">
            <a:off x="1474061" y="2412516"/>
            <a:ext cx="786744" cy="22512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nb-NO" sz="1050">
                <a:latin typeface="+mn-lt"/>
              </a:rPr>
              <a:t>208 050 kr</a:t>
            </a:r>
          </a:p>
        </cdr:txBody>
      </cdr:sp>
      <cdr:sp macro="" textlink="">
        <cdr:nvSpPr>
          <cdr:cNvPr id="5" name="TekstSylinder 1">
            <a:extLst xmlns:a="http://schemas.openxmlformats.org/drawingml/2006/main">
              <a:ext uri="{FF2B5EF4-FFF2-40B4-BE49-F238E27FC236}">
                <a16:creationId xmlns:a16="http://schemas.microsoft.com/office/drawing/2014/main" id="{AB432FE2-F7E7-36E8-4E83-C4FEF4A6F8F3}"/>
              </a:ext>
            </a:extLst>
          </cdr:cNvPr>
          <cdr:cNvSpPr txBox="1"/>
        </cdr:nvSpPr>
        <cdr:spPr>
          <a:xfrm xmlns:a="http://schemas.openxmlformats.org/drawingml/2006/main">
            <a:off x="2032361" y="1973097"/>
            <a:ext cx="786744" cy="225176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nb-NO" sz="1050">
                <a:latin typeface="+mn-lt"/>
              </a:rPr>
              <a:t>292 850 kr</a:t>
            </a:r>
          </a:p>
        </cdr:txBody>
      </cdr:sp>
      <cdr:sp macro="" textlink="">
        <cdr:nvSpPr>
          <cdr:cNvPr id="6" name="TekstSylinder 1">
            <a:extLst xmlns:a="http://schemas.openxmlformats.org/drawingml/2006/main">
              <a:ext uri="{FF2B5EF4-FFF2-40B4-BE49-F238E27FC236}">
                <a16:creationId xmlns:a16="http://schemas.microsoft.com/office/drawing/2014/main" id="{6B0077ED-1632-CA35-D67D-B6ACB006D0DD}"/>
              </a:ext>
            </a:extLst>
          </cdr:cNvPr>
          <cdr:cNvSpPr txBox="1"/>
        </cdr:nvSpPr>
        <cdr:spPr>
          <a:xfrm xmlns:a="http://schemas.openxmlformats.org/drawingml/2006/main">
            <a:off x="4374176" y="1316543"/>
            <a:ext cx="786744" cy="22512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nb-NO" sz="1050">
                <a:latin typeface="+mn-lt"/>
              </a:rPr>
              <a:t>670 000 kr</a:t>
            </a:r>
          </a:p>
        </cdr:txBody>
      </cdr:sp>
      <cdr:sp macro="" textlink="">
        <cdr:nvSpPr>
          <cdr:cNvPr id="8" name="TekstSylinder 1">
            <a:extLst xmlns:a="http://schemas.openxmlformats.org/drawingml/2006/main">
              <a:ext uri="{FF2B5EF4-FFF2-40B4-BE49-F238E27FC236}">
                <a16:creationId xmlns:a16="http://schemas.microsoft.com/office/drawing/2014/main" id="{5D825E81-5532-FB6B-24FA-D54A2615A343}"/>
              </a:ext>
            </a:extLst>
          </cdr:cNvPr>
          <cdr:cNvSpPr txBox="1"/>
        </cdr:nvSpPr>
        <cdr:spPr>
          <a:xfrm xmlns:a="http://schemas.openxmlformats.org/drawingml/2006/main">
            <a:off x="6087043" y="748120"/>
            <a:ext cx="786744" cy="22512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nb-NO" sz="1050">
                <a:latin typeface="+mn-lt"/>
              </a:rPr>
              <a:t>937 900 kr</a:t>
            </a:r>
          </a:p>
        </cdr:txBody>
      </cdr:sp>
      <cdr:sp macro="" textlink="">
        <cdr:nvSpPr>
          <cdr:cNvPr id="7" name="TekstSylinder 1">
            <a:extLst xmlns:a="http://schemas.openxmlformats.org/drawingml/2006/main">
              <a:ext uri="{FF2B5EF4-FFF2-40B4-BE49-F238E27FC236}">
                <a16:creationId xmlns:a16="http://schemas.microsoft.com/office/drawing/2014/main" id="{0C24288B-7B70-BE77-C95D-B43BDD7D14C0}"/>
              </a:ext>
            </a:extLst>
          </cdr:cNvPr>
          <cdr:cNvSpPr txBox="1"/>
        </cdr:nvSpPr>
        <cdr:spPr>
          <a:xfrm xmlns:a="http://schemas.openxmlformats.org/drawingml/2006/main">
            <a:off x="5545225" y="904207"/>
            <a:ext cx="786744" cy="22512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nb-NO" sz="1050">
                <a:latin typeface="+mn-lt"/>
              </a:rPr>
              <a:t>850 000 kr</a:t>
            </a:r>
          </a:p>
        </cdr:txBody>
      </cdr:sp>
      <cdr:sp macro="" textlink="">
        <cdr:nvSpPr>
          <cdr:cNvPr id="10" name="TekstSylinder 1">
            <a:extLst xmlns:a="http://schemas.openxmlformats.org/drawingml/2006/main">
              <a:ext uri="{FF2B5EF4-FFF2-40B4-BE49-F238E27FC236}">
                <a16:creationId xmlns:a16="http://schemas.microsoft.com/office/drawing/2014/main" id="{44055ACA-FAE7-2ECB-00EA-84D4C1689FC7}"/>
              </a:ext>
            </a:extLst>
          </cdr:cNvPr>
          <cdr:cNvSpPr txBox="1"/>
        </cdr:nvSpPr>
        <cdr:spPr>
          <a:xfrm xmlns:a="http://schemas.openxmlformats.org/drawingml/2006/main">
            <a:off x="8387894" y="690907"/>
            <a:ext cx="1255558" cy="22512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nb-NO" sz="1050">
                <a:latin typeface="+mn-lt"/>
              </a:rPr>
              <a:t>1 350 000 kr</a:t>
            </a:r>
          </a:p>
        </cdr:txBody>
      </cdr:sp>
      <cdr:sp macro="" textlink="">
        <cdr:nvSpPr>
          <cdr:cNvPr id="9" name="TekstSylinder 1">
            <a:extLst xmlns:a="http://schemas.openxmlformats.org/drawingml/2006/main">
              <a:ext uri="{FF2B5EF4-FFF2-40B4-BE49-F238E27FC236}">
                <a16:creationId xmlns:a16="http://schemas.microsoft.com/office/drawing/2014/main" id="{7F78FDAF-D735-ED14-43CA-B0C2BEC86589}"/>
              </a:ext>
            </a:extLst>
          </cdr:cNvPr>
          <cdr:cNvSpPr txBox="1"/>
        </cdr:nvSpPr>
        <cdr:spPr>
          <a:xfrm xmlns:a="http://schemas.openxmlformats.org/drawingml/2006/main">
            <a:off x="5226243" y="1229975"/>
            <a:ext cx="786628" cy="378572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9800AB"/>
          </a:solidFill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nb-NO" sz="1200" b="1">
                <a:solidFill>
                  <a:schemeClr val="bg1"/>
                </a:solidFill>
                <a:latin typeface="+mn-lt"/>
              </a:rPr>
              <a:t>7,1G</a:t>
            </a:r>
            <a:br>
              <a:rPr lang="nb-NO" sz="1050">
                <a:solidFill>
                  <a:schemeClr val="bg1"/>
                </a:solidFill>
                <a:latin typeface="+mn-lt"/>
              </a:rPr>
            </a:br>
            <a:r>
              <a:rPr lang="nb-NO" sz="1050">
                <a:solidFill>
                  <a:schemeClr val="bg1"/>
                </a:solidFill>
                <a:latin typeface="+mn-lt"/>
              </a:rPr>
              <a:t>842 202 kr</a:t>
            </a:r>
          </a:p>
        </cdr:txBody>
      </cdr:sp>
    </cdr:grpSp>
  </cdr:relSizeAnchor>
  <cdr:relSizeAnchor xmlns:cdr="http://schemas.openxmlformats.org/drawingml/2006/chartDrawing">
    <cdr:from>
      <cdr:x>0.42784</cdr:x>
      <cdr:y>0.9471</cdr:y>
    </cdr:from>
    <cdr:to>
      <cdr:x>0.44755</cdr:x>
      <cdr:y>0.9471</cdr:y>
    </cdr:to>
    <cdr:cxnSp macro="">
      <cdr:nvCxnSpPr>
        <cdr:cNvPr id="14" name="Rett linje 13">
          <a:extLst xmlns:a="http://schemas.openxmlformats.org/drawingml/2006/main">
            <a:ext uri="{FF2B5EF4-FFF2-40B4-BE49-F238E27FC236}">
              <a16:creationId xmlns:a16="http://schemas.microsoft.com/office/drawing/2014/main" id="{FE81CDD0-C37E-4BB0-9026-CCF6A3E569BC}"/>
            </a:ext>
          </a:extLst>
        </cdr:cNvPr>
        <cdr:cNvCxnSpPr/>
      </cdr:nvCxnSpPr>
      <cdr:spPr>
        <a:xfrm xmlns:a="http://schemas.openxmlformats.org/drawingml/2006/main">
          <a:off x="5367048" y="5314661"/>
          <a:ext cx="247238" cy="0"/>
        </a:xfrm>
        <a:prstGeom xmlns:a="http://schemas.openxmlformats.org/drawingml/2006/main" prst="line">
          <a:avLst/>
        </a:prstGeom>
        <a:ln xmlns:a="http://schemas.openxmlformats.org/drawingml/2006/main" w="22225">
          <a:solidFill>
            <a:srgbClr val="0098CB"/>
          </a:solidFill>
          <a:prstDash val="soli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0.453</cdr:x>
      <cdr:y>0.92565</cdr:y>
    </cdr:from>
    <cdr:to>
      <cdr:x>0.58799</cdr:x>
      <cdr:y>0.97642</cdr:y>
    </cdr:to>
    <cdr:sp macro="" textlink="">
      <cdr:nvSpPr>
        <cdr:cNvPr id="15" name="TekstSylinder 31">
          <a:extLst xmlns:a="http://schemas.openxmlformats.org/drawingml/2006/main">
            <a:ext uri="{FF2B5EF4-FFF2-40B4-BE49-F238E27FC236}">
              <a16:creationId xmlns:a16="http://schemas.microsoft.com/office/drawing/2014/main" id="{298386BC-8719-4D67-95FD-9F381C5172EA}"/>
            </a:ext>
          </a:extLst>
        </cdr:cNvPr>
        <cdr:cNvSpPr txBox="1"/>
      </cdr:nvSpPr>
      <cdr:spPr>
        <a:xfrm xmlns:a="http://schemas.openxmlformats.org/drawingml/2006/main">
          <a:off x="5682673" y="5194300"/>
          <a:ext cx="1693285" cy="2848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>
              <a:latin typeface="TSTAR" panose="02000806030000020004" pitchFamily="50" charset="0"/>
            </a:rPr>
            <a:t>AGA og lønnsskatt</a:t>
          </a:r>
        </a:p>
      </cdr:txBody>
    </cdr:sp>
  </cdr:relSizeAnchor>
  <cdr:relSizeAnchor xmlns:cdr="http://schemas.openxmlformats.org/drawingml/2006/chartDrawing">
    <cdr:from>
      <cdr:x>0.57763</cdr:x>
      <cdr:y>0.9471</cdr:y>
    </cdr:from>
    <cdr:to>
      <cdr:x>0.59485</cdr:x>
      <cdr:y>0.9471</cdr:y>
    </cdr:to>
    <cdr:cxnSp macro="">
      <cdr:nvCxnSpPr>
        <cdr:cNvPr id="16" name="Rett linje 15">
          <a:extLst xmlns:a="http://schemas.openxmlformats.org/drawingml/2006/main">
            <a:ext uri="{FF2B5EF4-FFF2-40B4-BE49-F238E27FC236}">
              <a16:creationId xmlns:a16="http://schemas.microsoft.com/office/drawing/2014/main" id="{EF443388-C0C3-4FDA-A4FE-1622BDDBC2AC}"/>
            </a:ext>
          </a:extLst>
        </cdr:cNvPr>
        <cdr:cNvCxnSpPr/>
      </cdr:nvCxnSpPr>
      <cdr:spPr>
        <a:xfrm xmlns:a="http://schemas.openxmlformats.org/drawingml/2006/main">
          <a:off x="7246071" y="5314661"/>
          <a:ext cx="21600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9800AB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0.60317</cdr:x>
      <cdr:y>0.92565</cdr:y>
    </cdr:from>
    <cdr:to>
      <cdr:x>0.78321</cdr:x>
      <cdr:y>0.97642</cdr:y>
    </cdr:to>
    <cdr:sp macro="" textlink="">
      <cdr:nvSpPr>
        <cdr:cNvPr id="17" name="TekstSylinder 33">
          <a:extLst xmlns:a="http://schemas.openxmlformats.org/drawingml/2006/main">
            <a:ext uri="{FF2B5EF4-FFF2-40B4-BE49-F238E27FC236}">
              <a16:creationId xmlns:a16="http://schemas.microsoft.com/office/drawing/2014/main" id="{D792E158-742E-47B1-93F5-669155779381}"/>
            </a:ext>
          </a:extLst>
        </cdr:cNvPr>
        <cdr:cNvSpPr txBox="1"/>
      </cdr:nvSpPr>
      <cdr:spPr>
        <a:xfrm xmlns:a="http://schemas.openxmlformats.org/drawingml/2006/main">
          <a:off x="7109678" y="5539877"/>
          <a:ext cx="2122173" cy="30385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>
              <a:latin typeface="TSTAR" panose="02000806030000020004" pitchFamily="50" charset="0"/>
            </a:rPr>
            <a:t>Maks</a:t>
          </a:r>
          <a:r>
            <a:rPr lang="nb-NO" sz="1100" baseline="0">
              <a:latin typeface="TSTAR" panose="02000806030000020004" pitchFamily="50" charset="0"/>
            </a:rPr>
            <a:t> alderspensjon (7,1G)</a:t>
          </a:r>
          <a:endParaRPr lang="nb-NO" sz="1100">
            <a:latin typeface="TSTAR" panose="02000806030000020004" pitchFamily="50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216477</xdr:colOff>
      <xdr:row>7</xdr:row>
      <xdr:rowOff>138546</xdr:rowOff>
    </xdr:from>
    <xdr:to>
      <xdr:col>20</xdr:col>
      <xdr:colOff>216477</xdr:colOff>
      <xdr:row>8</xdr:row>
      <xdr:rowOff>92046</xdr:rowOff>
    </xdr:to>
    <xdr:cxnSp macro="">
      <xdr:nvCxnSpPr>
        <xdr:cNvPr id="9" name="Rett linje 8">
          <a:extLst>
            <a:ext uri="{FF2B5EF4-FFF2-40B4-BE49-F238E27FC236}">
              <a16:creationId xmlns:a16="http://schemas.microsoft.com/office/drawing/2014/main" id="{8DCD430C-BC88-4022-99D9-138527675A3E}"/>
            </a:ext>
          </a:extLst>
        </xdr:cNvPr>
        <xdr:cNvCxnSpPr/>
      </xdr:nvCxnSpPr>
      <xdr:spPr>
        <a:xfrm flipV="1">
          <a:off x="10390909" y="1472046"/>
          <a:ext cx="0" cy="14400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628650</xdr:colOff>
      <xdr:row>0</xdr:row>
      <xdr:rowOff>171450</xdr:rowOff>
    </xdr:from>
    <xdr:to>
      <xdr:col>15</xdr:col>
      <xdr:colOff>685800</xdr:colOff>
      <xdr:row>28</xdr:row>
      <xdr:rowOff>19050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7E5107D-42ED-42F4-B802-36E99AAAFA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vein Austheim" id="{E3B91B73-1415-4CCC-8243-6D9022C35776}" userId="S::Svein.Austheim@regnskapnorge.no::51414100-e317-44f8-9a37-9d44d870c091" providerId="AD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7" dT="2023-03-10T09:37:01.69" personId="{E3B91B73-1415-4CCC-8243-6D9022C35776}" id="{72248041-9A96-4C66-BF47-333858B9A948}">
    <text>Minstebeløp for trygdeavgift</text>
  </threadedComment>
  <threadedComment ref="E10" dT="2023-03-10T09:50:20.65" personId="{E3B91B73-1415-4CCC-8243-6D9022C35776}" id="{C038D5A2-44C8-4040-AE77-8FBC4102F0E9}">
    <text>Optimalt minstefradrag (104 450)</text>
  </threadedComment>
  <threadedComment ref="E13" dT="2024-02-29T09:48:41.43" personId="{E3B91B73-1415-4CCC-8243-6D9022C35776}" id="{DB9B121B-EE0A-4D76-9598-11FF37B0BBC4}">
    <text>Terskelverdi for AGA sone 1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AE392-6E7F-47A2-80F5-AA174B9B64A5}">
  <dimension ref="B1:V46"/>
  <sheetViews>
    <sheetView showGridLines="0" tabSelected="1" zoomScale="85" zoomScaleNormal="85" workbookViewId="0">
      <selection activeCell="C4" sqref="C4"/>
    </sheetView>
  </sheetViews>
  <sheetFormatPr baseColWidth="10" defaultRowHeight="15" x14ac:dyDescent="0.25"/>
  <cols>
    <col min="2" max="2" width="46.140625" customWidth="1"/>
    <col min="3" max="3" width="22.85546875" style="1" customWidth="1"/>
    <col min="4" max="4" width="7.85546875" style="1" customWidth="1"/>
    <col min="5" max="5" width="6" customWidth="1"/>
    <col min="6" max="6" width="13.140625" bestFit="1" customWidth="1"/>
    <col min="7" max="7" width="23.5703125" customWidth="1"/>
    <col min="8" max="8" width="14" style="13" customWidth="1"/>
    <col min="9" max="9" width="23.5703125" customWidth="1"/>
    <col min="10" max="10" width="17.5703125" customWidth="1"/>
    <col min="11" max="11" width="17.7109375" customWidth="1"/>
    <col min="12" max="12" width="23.5703125" style="10" customWidth="1"/>
    <col min="14" max="14" width="12" bestFit="1" customWidth="1"/>
    <col min="16" max="16" width="9.5703125" customWidth="1"/>
    <col min="17" max="17" width="4.28515625" customWidth="1"/>
    <col min="18" max="18" width="6.7109375" customWidth="1"/>
    <col min="19" max="19" width="25.5703125" style="7" customWidth="1"/>
    <col min="20" max="20" width="13.42578125" style="7" customWidth="1"/>
    <col min="21" max="21" width="14.5703125" style="7" customWidth="1"/>
    <col min="22" max="22" width="5" style="7" customWidth="1"/>
  </cols>
  <sheetData>
    <row r="1" spans="2:22" x14ac:dyDescent="0.25">
      <c r="E1" s="1"/>
    </row>
    <row r="2" spans="2:22" ht="21" x14ac:dyDescent="0.35">
      <c r="B2" s="58" t="s">
        <v>51</v>
      </c>
      <c r="D2" s="33"/>
      <c r="F2" s="120" t="s">
        <v>50</v>
      </c>
      <c r="G2" s="40"/>
      <c r="H2" s="41"/>
      <c r="I2" s="40"/>
      <c r="J2" s="40"/>
      <c r="K2" s="40"/>
      <c r="L2" s="42"/>
      <c r="Q2" s="39"/>
      <c r="S2" s="121" t="s">
        <v>52</v>
      </c>
      <c r="T2" s="59"/>
      <c r="U2" s="59"/>
      <c r="V2" s="8"/>
    </row>
    <row r="3" spans="2:22" ht="15.75" thickBot="1" x14ac:dyDescent="0.3">
      <c r="D3" s="33"/>
      <c r="Q3" s="39"/>
    </row>
    <row r="4" spans="2:22" ht="19.5" thickBot="1" x14ac:dyDescent="0.3">
      <c r="B4" s="113" t="s">
        <v>60</v>
      </c>
      <c r="C4" s="92"/>
      <c r="D4" s="33"/>
      <c r="F4" s="40"/>
      <c r="G4" s="40"/>
      <c r="H4" s="41"/>
      <c r="I4" s="40"/>
      <c r="J4" s="40"/>
      <c r="K4" s="40"/>
      <c r="L4" s="42"/>
      <c r="Q4" s="39"/>
      <c r="S4" s="60"/>
      <c r="T4" s="59"/>
      <c r="U4" s="59"/>
      <c r="V4" s="8"/>
    </row>
    <row r="5" spans="2:22" ht="18" customHeight="1" thickBot="1" x14ac:dyDescent="0.3">
      <c r="D5" s="33"/>
      <c r="F5" s="43" t="s">
        <v>26</v>
      </c>
      <c r="G5" s="44" t="s">
        <v>63</v>
      </c>
      <c r="H5" s="45" t="s">
        <v>25</v>
      </c>
      <c r="I5" s="44" t="s">
        <v>40</v>
      </c>
      <c r="J5" s="85" t="s">
        <v>62</v>
      </c>
      <c r="K5" s="45" t="s">
        <v>41</v>
      </c>
      <c r="L5" s="46" t="s">
        <v>42</v>
      </c>
      <c r="Q5" s="39"/>
      <c r="S5" s="29"/>
      <c r="T5" s="30"/>
      <c r="U5" s="61" t="s">
        <v>4</v>
      </c>
      <c r="V5" s="8"/>
    </row>
    <row r="6" spans="2:22" ht="18" customHeight="1" thickBot="1" x14ac:dyDescent="0.35">
      <c r="B6" s="114" t="s">
        <v>65</v>
      </c>
      <c r="C6" s="109" t="s">
        <v>67</v>
      </c>
      <c r="D6" s="34"/>
      <c r="F6" s="47">
        <f>IF(C10*(1+T25)&gt;U15*(1+T25),U15*(1+T25),C10*(1+T25))</f>
        <v>0</v>
      </c>
      <c r="G6" s="48"/>
      <c r="H6" s="49">
        <f>F6/(1+T25)</f>
        <v>0</v>
      </c>
      <c r="I6" s="48"/>
      <c r="J6" s="86">
        <f>IF(F6=0,0,L6/F6)</f>
        <v>0</v>
      </c>
      <c r="K6" s="50"/>
      <c r="L6" s="51">
        <f>IF(C10&gt;U15,((U15-(U15*T9)-U6)*T12)+((U15*(1+T25))-U15)+(U15*T22),IF(C16-C17-C18&lt;=0,0,(C16-C17-C18)*T12)+IF(C16&lt;U22,0,IF((C16-U22)*0.25&lt;(C16*T22),(C16-U22)*0.25,C16*T22))+(IF(C4="",F6,C4)-C10-C11))</f>
        <v>0</v>
      </c>
      <c r="N6" s="6"/>
      <c r="Q6" s="39"/>
      <c r="S6" s="62" t="s">
        <v>17</v>
      </c>
      <c r="T6" s="63"/>
      <c r="U6" s="64">
        <v>88250</v>
      </c>
      <c r="V6" s="8"/>
    </row>
    <row r="7" spans="2:22" ht="18" customHeight="1" x14ac:dyDescent="0.25">
      <c r="B7" s="81" t="s">
        <v>20</v>
      </c>
      <c r="C7" s="82">
        <f>IF(C4&gt;U26*(1+T25),(C4-(IF(C4&lt;=U26*(1+T25),C4/(1+T25),U26)*(1+T25)))/(1+T26),0)+IF(C4&lt;=U26*(1+T25),C4/(1+T25),U26)</f>
        <v>0</v>
      </c>
      <c r="D7" s="33"/>
      <c r="F7" s="52">
        <f>IF($C$10*(1+$T$25)&gt;U16*(1+$T$25),U16*(1+$T$25)-F6,IF(AND($C$10*(1+$T$25)&gt;U15*(1+$T$25),$C$10*(1+$T$25)&lt;=U16*(1+$T$25)),$C$10*(1+$T$25)-F6,0))</f>
        <v>0</v>
      </c>
      <c r="G7" s="53">
        <f>IF(F7=0,0,F6+F7)</f>
        <v>0</v>
      </c>
      <c r="H7" s="53">
        <f>F7/(1+$T$25)</f>
        <v>0</v>
      </c>
      <c r="I7" s="53">
        <f>IF(H7=0,0,H6+H7)</f>
        <v>0</v>
      </c>
      <c r="J7" s="87">
        <f t="shared" ref="J7:J12" si="0">IF(F7=0,0,K7/F7)</f>
        <v>0</v>
      </c>
      <c r="K7" s="53">
        <f t="shared" ref="K7:K12" si="1">IF(L7=0,0,L7-L6)</f>
        <v>0</v>
      </c>
      <c r="L7" s="54">
        <f>IF(C10&gt;U16,(((U16-U9-U6)*T12))+(U16*T22)+((U16*(1+T25))-U16)+((U16-U15)*T15),IF(AND(C16&gt;U15,C16&lt;=U16),((C16-C17-C18)*T12)+(C16*T22)+((C16-U15)*T15)+((C16*(1+T25))-C16),0))</f>
        <v>0</v>
      </c>
      <c r="N7" s="100"/>
      <c r="Q7" s="39"/>
      <c r="S7" s="65"/>
      <c r="T7" s="66"/>
      <c r="U7" s="66"/>
      <c r="V7" s="8"/>
    </row>
    <row r="8" spans="2:22" ht="18" customHeight="1" x14ac:dyDescent="0.25">
      <c r="B8" s="81" t="s">
        <v>43</v>
      </c>
      <c r="C8" s="83">
        <f>C4</f>
        <v>0</v>
      </c>
      <c r="D8" s="33"/>
      <c r="F8" s="52">
        <f>IF(C10*(1+T25)&gt;U17*(1+T25),U17*(1+T25)-F7-F6,IF(AND(C10*(1+T25)&gt;U16+(1*T25),C10*(1+T25)&lt;=U17*(1+T25)),C10*(1+T25)-F7-F6,0))</f>
        <v>0</v>
      </c>
      <c r="G8" s="53">
        <f t="shared" ref="G8:G9" si="2">IF(F8=0,0,G7+F8)</f>
        <v>0</v>
      </c>
      <c r="H8" s="53">
        <f>F8/(1+$T$25)</f>
        <v>0</v>
      </c>
      <c r="I8" s="53">
        <f t="shared" ref="I8:I9" si="3">IF(H8=0,0,I7+H8)</f>
        <v>0</v>
      </c>
      <c r="J8" s="87">
        <f t="shared" si="0"/>
        <v>0</v>
      </c>
      <c r="K8" s="53">
        <f t="shared" si="1"/>
        <v>0</v>
      </c>
      <c r="L8" s="54">
        <f>IF(C10&gt;U17,((((U17-U9-U6)*T12)+(U17*T22)+(U16-U15)*T15)+(U17-U16)*T16)+(U17*(1+T25)-U17),IF(AND(C16&gt;U16,C16&lt;=U17),((C16-C17-C18)*T12)+(C16*T22)+((U16-U15)*T15)+((C16-U16)*T16)+((C16*(1+T25))-C16),0))</f>
        <v>0</v>
      </c>
      <c r="Q8" s="39"/>
      <c r="S8" s="29"/>
      <c r="T8" s="30" t="s">
        <v>2</v>
      </c>
      <c r="U8" s="61" t="s">
        <v>3</v>
      </c>
      <c r="V8" s="8"/>
    </row>
    <row r="9" spans="2:22" ht="18" customHeight="1" thickBot="1" x14ac:dyDescent="0.3">
      <c r="C9" s="2"/>
      <c r="D9" s="34"/>
      <c r="F9" s="52">
        <f>IF(C10*(1+T25)&gt;=U26*(1+T25),U26*(1+T25)-F8-F7-F6,IF(AND(C10*(1+T25)&gt;U17*(1+T25),C10*(1+T25)&lt;=U26*(1+T25)),C10*(1+T25)-F8-F7-F6,0))</f>
        <v>0</v>
      </c>
      <c r="G9" s="53">
        <f t="shared" si="2"/>
        <v>0</v>
      </c>
      <c r="H9" s="53">
        <f>F9/(1+$T$25)</f>
        <v>0</v>
      </c>
      <c r="I9" s="53">
        <f t="shared" si="3"/>
        <v>0</v>
      </c>
      <c r="J9" s="87">
        <f t="shared" si="0"/>
        <v>0</v>
      </c>
      <c r="K9" s="53">
        <f t="shared" si="1"/>
        <v>0</v>
      </c>
      <c r="L9" s="54">
        <f>IF(C10&gt;U26,(U26-U9-U6)*T12+(U26*T22)+(U16-U15)*T15+(U17-U16)*T16+(U26-U17)*T17+(U26*(1+T25)-U26),IF(AND(C16&gt;U17,C16&lt;=U26),((C16-C17-C18)*T12)+(C16*T22)+(U16-U15)*T15+(U17-U16)*T16+(C16-U17)*T17+(C16*(1+T25)-C16),0))</f>
        <v>0</v>
      </c>
      <c r="N9" s="6"/>
      <c r="Q9" s="39"/>
      <c r="S9" s="62" t="s">
        <v>1</v>
      </c>
      <c r="T9" s="63">
        <v>0.46</v>
      </c>
      <c r="U9" s="64">
        <v>104450</v>
      </c>
      <c r="V9" s="9"/>
    </row>
    <row r="10" spans="2:22" ht="18" customHeight="1" thickBot="1" x14ac:dyDescent="0.3">
      <c r="B10" s="115" t="s">
        <v>61</v>
      </c>
      <c r="C10" s="93"/>
      <c r="D10" s="33"/>
      <c r="F10" s="52">
        <f>IF((C10-U26)*(1+T26)+U26*(1+T25)&gt;(U18-U26)*(1+T26)+U26*(1+T25),(U18-U26)*(1+T26)+U26*(1+T25)-F9-F8-F7-F6,IF(AND((C10-U26)*(1+T26)+U26*(1+T25)&gt;U26*(1+T25),(C10-U26)*(1+T26)+U26*(1+T25)&lt;=(U18-U26)*(1+T26)+U26*(1+T25)),(C10-U26)*(1+T26)+U26*(1+T25)-F9-F8-F7-F6,0))</f>
        <v>0</v>
      </c>
      <c r="G10" s="53">
        <f>IF(F10=0,0,G9+F10)</f>
        <v>0</v>
      </c>
      <c r="H10" s="53">
        <f>F10/(1+$T$26)</f>
        <v>0</v>
      </c>
      <c r="I10" s="53">
        <f>IF(H10=0,0,I9+H10)</f>
        <v>0</v>
      </c>
      <c r="J10" s="87">
        <f t="shared" si="0"/>
        <v>0</v>
      </c>
      <c r="K10" s="53">
        <f t="shared" si="1"/>
        <v>0</v>
      </c>
      <c r="L10" s="54">
        <f>IF(C10&gt;U18,(U18-U9-U6)*T12+(U18*T22)+(U16-U15)*T15+(U17-U16)*T16+(U18-U17)*T17+(U26*T25)+(U18-U26)*T26,IF(AND(C16&gt;U26,C16&lt;=U18),((C16-C17-C18)*T12)+(C16*T22)+(U16-U15)*T15+(U17-U16)*T16+(C16-U17)*T17+(U26*T25)+(C16-U26)*T26,0))</f>
        <v>0</v>
      </c>
      <c r="N10" s="89"/>
      <c r="Q10" s="39"/>
      <c r="S10" s="65"/>
      <c r="T10" s="66"/>
      <c r="U10" s="66"/>
      <c r="V10" s="9"/>
    </row>
    <row r="11" spans="2:22" ht="18" customHeight="1" x14ac:dyDescent="0.25">
      <c r="B11" s="90" t="s">
        <v>55</v>
      </c>
      <c r="C11" s="91">
        <f>IF(C10&gt;C7,0,C4-IF(C10&lt;=U26,C10*(1+T25),(U26*(1+T25)+(C10-U26)*(1+T26))))</f>
        <v>0</v>
      </c>
      <c r="D11" s="34"/>
      <c r="F11" s="52">
        <f>IF((C10-U26)*(1+T26)+U26*(1+T25)&gt;=(U19-U26)*(1+T26)+U26*(1+T25),(U19-U26)*(1+T26)+U26*(1+T25)-F10-F9-F8-F7-F6,(IF(AND((C10-U26)*(1+T26)+U26*(1+T25)&gt;U26*(1+T25)+(U18-U26*(1+T26)),(C10-U26)*(1+T26)+U26*(1+T25)&lt;=(U19-U26)*(1+T26)+U26*(1+T25)),(C10-U26)*(1+T26)+U26*(1+T25)-F10-F9-F8-F7-F6,0)))</f>
        <v>0</v>
      </c>
      <c r="G11" s="53">
        <f t="shared" ref="G11:G12" si="4">IF(F11=0,0,G10+F11)</f>
        <v>0</v>
      </c>
      <c r="H11" s="53">
        <f>F11/(1+$T$26)</f>
        <v>0</v>
      </c>
      <c r="I11" s="53">
        <f t="shared" ref="I11:I12" si="5">IF(H11=0,0,I10+H11)</f>
        <v>0</v>
      </c>
      <c r="J11" s="87">
        <f t="shared" si="0"/>
        <v>0</v>
      </c>
      <c r="K11" s="53">
        <f t="shared" si="1"/>
        <v>0</v>
      </c>
      <c r="L11" s="54">
        <f>IF(C10&gt;U19,(U19-U9-U6)*T12+(U19*T22)+(U16-U15)*T15+(U17-U16)*T16+(U18-U17)*T17+(U19-U18)*T18+(U26*T25)+(U19-U26)*T26,IF(AND(C16&gt;U18,C16&lt;=U19),((C16-C17-C18)*T12)+(C16*T22)+(U16-U15)*T15+(U17-U16)*T16+(U18-U17)*T17+(C16-U18)*T18+(U26*T25)+(C16-U26)*T26,0))</f>
        <v>0</v>
      </c>
      <c r="Q11" s="39"/>
      <c r="S11" s="29"/>
      <c r="T11" s="30" t="s">
        <v>2</v>
      </c>
      <c r="U11" s="67"/>
      <c r="V11" s="8"/>
    </row>
    <row r="12" spans="2:22" ht="18" customHeight="1" x14ac:dyDescent="0.25">
      <c r="D12" s="34"/>
      <c r="E12" s="6"/>
      <c r="F12" s="55">
        <f>IF((C10-U26)*(1+T26)+U26*(1+T25)&gt;(U19-U26)*(1+T26)+U26*(1+T25),(C10-U26)*(1+T26)+U26*(1+T25)-F11-F10-F9-F8-F7-F6,0)</f>
        <v>0</v>
      </c>
      <c r="G12" s="56">
        <f t="shared" si="4"/>
        <v>0</v>
      </c>
      <c r="H12" s="56">
        <f>F12/(1+$T$26)</f>
        <v>0</v>
      </c>
      <c r="I12" s="56">
        <f t="shared" si="5"/>
        <v>0</v>
      </c>
      <c r="J12" s="88">
        <f t="shared" si="0"/>
        <v>0</v>
      </c>
      <c r="K12" s="56">
        <f t="shared" si="1"/>
        <v>0</v>
      </c>
      <c r="L12" s="57">
        <f>IF(C10&gt;U19,((C16-C17-C18)*T12+(T22*C16)+(U16-U15)*T15+(U17-U16)*T16+(U18-U17)*T17+(U19-U18)*T18+(C16-U19)*T19)+(U26*(1+T25)-U26)+(C16-U26)*(1+T26)-(C16-U26),0)</f>
        <v>0</v>
      </c>
      <c r="Q12" s="39"/>
      <c r="S12" s="62" t="s">
        <v>7</v>
      </c>
      <c r="T12" s="63">
        <v>0.22</v>
      </c>
      <c r="U12" s="68"/>
      <c r="V12" s="8"/>
    </row>
    <row r="13" spans="2:22" ht="17.25" customHeight="1" thickBot="1" x14ac:dyDescent="0.35">
      <c r="B13" s="25" t="s">
        <v>56</v>
      </c>
      <c r="C13" s="26"/>
      <c r="D13" s="33"/>
      <c r="Q13" s="39"/>
      <c r="S13" s="65"/>
      <c r="T13" s="66"/>
      <c r="U13" s="66"/>
      <c r="V13" s="8"/>
    </row>
    <row r="14" spans="2:22" x14ac:dyDescent="0.25">
      <c r="D14" s="33"/>
      <c r="Q14" s="39"/>
      <c r="S14" s="29"/>
      <c r="T14" s="30" t="s">
        <v>2</v>
      </c>
      <c r="U14" s="61" t="s">
        <v>6</v>
      </c>
      <c r="V14" s="8"/>
    </row>
    <row r="15" spans="2:22" x14ac:dyDescent="0.25">
      <c r="B15" s="22" t="s">
        <v>44</v>
      </c>
      <c r="C15" s="21" t="s">
        <v>4</v>
      </c>
      <c r="D15" s="33"/>
      <c r="Q15" s="39"/>
      <c r="S15" s="69" t="s">
        <v>5</v>
      </c>
      <c r="T15" s="70">
        <v>1.7000000000000001E-2</v>
      </c>
      <c r="U15" s="71">
        <v>208050</v>
      </c>
      <c r="V15" s="8"/>
    </row>
    <row r="16" spans="2:22" x14ac:dyDescent="0.25">
      <c r="B16" t="s">
        <v>0</v>
      </c>
      <c r="C16" s="2">
        <f>C10</f>
        <v>0</v>
      </c>
      <c r="D16" s="33"/>
      <c r="E16" s="1"/>
      <c r="Q16" s="39"/>
      <c r="S16" s="69" t="s">
        <v>8</v>
      </c>
      <c r="T16" s="70">
        <v>0.04</v>
      </c>
      <c r="U16" s="71">
        <v>292850</v>
      </c>
      <c r="V16" s="8"/>
    </row>
    <row r="17" spans="2:22" x14ac:dyDescent="0.25">
      <c r="B17" t="s">
        <v>1</v>
      </c>
      <c r="C17" s="2">
        <f>IF(C16*T9&gt;=U9,U9,C16*T9)</f>
        <v>0</v>
      </c>
      <c r="D17" s="33"/>
      <c r="E17" s="1"/>
      <c r="Q17" s="39"/>
      <c r="S17" s="69" t="s">
        <v>9</v>
      </c>
      <c r="T17" s="70">
        <v>0.13600000000000001</v>
      </c>
      <c r="U17" s="71">
        <v>670000</v>
      </c>
      <c r="V17" s="8"/>
    </row>
    <row r="18" spans="2:22" ht="14.25" customHeight="1" x14ac:dyDescent="0.25">
      <c r="B18" t="s">
        <v>17</v>
      </c>
      <c r="C18" s="2">
        <f>IF(C10="",0,U6)</f>
        <v>0</v>
      </c>
      <c r="D18" s="33"/>
      <c r="E18" s="14"/>
      <c r="G18" s="95" t="s">
        <v>67</v>
      </c>
      <c r="H18" s="95" t="s">
        <v>68</v>
      </c>
      <c r="I18" s="95" t="s">
        <v>69</v>
      </c>
      <c r="J18" s="95" t="s">
        <v>70</v>
      </c>
      <c r="K18" s="95" t="s">
        <v>71</v>
      </c>
      <c r="L18" s="95" t="s">
        <v>72</v>
      </c>
      <c r="M18" s="108" t="s">
        <v>73</v>
      </c>
      <c r="N18" s="95" t="s">
        <v>39</v>
      </c>
      <c r="Q18" s="39"/>
      <c r="S18" s="69" t="s">
        <v>10</v>
      </c>
      <c r="T18" s="70">
        <v>0.16600000000000001</v>
      </c>
      <c r="U18" s="71">
        <v>937900</v>
      </c>
      <c r="V18" s="8"/>
    </row>
    <row r="19" spans="2:22" x14ac:dyDescent="0.25">
      <c r="B19" s="23" t="s">
        <v>45</v>
      </c>
      <c r="C19" s="24">
        <f>IF(C16-C17-C18&lt;=0,0,C16-C17-C18)</f>
        <v>0</v>
      </c>
      <c r="D19" s="33"/>
      <c r="E19" s="31"/>
      <c r="G19" s="13"/>
      <c r="I19" s="13"/>
      <c r="J19" s="13"/>
      <c r="K19" s="13"/>
      <c r="L19" s="13"/>
      <c r="M19" s="96"/>
      <c r="N19" s="13">
        <v>0.51519999999999999</v>
      </c>
      <c r="Q19" s="39"/>
      <c r="S19" s="62" t="s">
        <v>11</v>
      </c>
      <c r="T19" s="72">
        <v>0.17599999999999999</v>
      </c>
      <c r="U19" s="64">
        <v>1350000</v>
      </c>
      <c r="V19" s="8"/>
    </row>
    <row r="20" spans="2:22" x14ac:dyDescent="0.25">
      <c r="C20" s="2"/>
      <c r="D20" s="35"/>
      <c r="E20" s="1"/>
      <c r="G20" s="94">
        <v>0.12357581069237511</v>
      </c>
      <c r="H20" s="94">
        <v>9.5840867992766712E-2</v>
      </c>
      <c r="I20" s="94">
        <v>6.0150375939849628E-2</v>
      </c>
      <c r="J20" s="94">
        <v>4.8525214081826827E-2</v>
      </c>
      <c r="K20" s="94">
        <v>7.3215940685820213E-2</v>
      </c>
      <c r="L20" s="94">
        <v>0</v>
      </c>
      <c r="M20" s="96" cm="1">
        <f t="array" ref="M20:M38">INDEX(G20:L38,,MATCH(C6,G18:L18,0))</f>
        <v>0.12357581069237511</v>
      </c>
      <c r="N20" s="94">
        <v>0.51519999999999999</v>
      </c>
      <c r="Q20" s="39"/>
      <c r="S20" s="65"/>
      <c r="T20" s="66"/>
      <c r="U20" s="66"/>
      <c r="V20" s="8"/>
    </row>
    <row r="21" spans="2:22" x14ac:dyDescent="0.25">
      <c r="B21" s="23" t="s">
        <v>47</v>
      </c>
      <c r="C21" s="24">
        <f>IF(C16&lt;U29,0,(C19)*T12)</f>
        <v>0</v>
      </c>
      <c r="D21" s="33"/>
      <c r="E21" s="1"/>
      <c r="G21" s="94">
        <v>0.12357679217270942</v>
      </c>
      <c r="H21" s="94">
        <v>9.5841880532605284E-2</v>
      </c>
      <c r="I21" s="94">
        <v>6.0151428448366039E-2</v>
      </c>
      <c r="J21" s="94">
        <v>4.852627960900234E-2</v>
      </c>
      <c r="K21" s="94">
        <v>7.3216978562614887E-2</v>
      </c>
      <c r="L21" s="94">
        <v>1.1198690614635828E-6</v>
      </c>
      <c r="M21" s="96">
        <v>0.12357679217270942</v>
      </c>
      <c r="N21" s="94">
        <v>0.51519999999999999</v>
      </c>
      <c r="Q21" s="39"/>
      <c r="S21" s="29"/>
      <c r="T21" s="30" t="s">
        <v>13</v>
      </c>
      <c r="U21" s="61" t="s">
        <v>14</v>
      </c>
      <c r="V21" s="8"/>
    </row>
    <row r="22" spans="2:22" x14ac:dyDescent="0.25">
      <c r="D22" s="33"/>
      <c r="E22" s="32"/>
      <c r="G22" s="94">
        <v>0.19193689745836984</v>
      </c>
      <c r="H22" s="94">
        <v>0.1663652802893309</v>
      </c>
      <c r="I22" s="94">
        <v>0.13345864661654136</v>
      </c>
      <c r="J22" s="94">
        <v>0.12274024738344436</v>
      </c>
      <c r="K22" s="94">
        <v>0.14550509731232625</v>
      </c>
      <c r="L22" s="94">
        <v>7.8E-2</v>
      </c>
      <c r="M22" s="96">
        <v>0.19193689745836984</v>
      </c>
      <c r="N22" s="94">
        <v>0.51519999999999999</v>
      </c>
      <c r="Q22" s="39"/>
      <c r="S22" s="62" t="s">
        <v>12</v>
      </c>
      <c r="T22" s="72">
        <v>7.8E-2</v>
      </c>
      <c r="U22" s="64">
        <v>69650</v>
      </c>
      <c r="V22" s="8"/>
    </row>
    <row r="23" spans="2:22" x14ac:dyDescent="0.25">
      <c r="B23" s="22" t="s">
        <v>46</v>
      </c>
      <c r="C23" s="15"/>
      <c r="D23" s="36"/>
      <c r="E23" s="1"/>
      <c r="G23" s="94">
        <v>0.19194013006724644</v>
      </c>
      <c r="H23" s="94">
        <v>0.16636861519595675</v>
      </c>
      <c r="I23" s="94">
        <v>0.13346211316421824</v>
      </c>
      <c r="J23" s="94">
        <v>0.12274375680944645</v>
      </c>
      <c r="K23" s="94">
        <v>0.1455085156688862</v>
      </c>
      <c r="L23" s="94">
        <v>7.8003688406728222E-2</v>
      </c>
      <c r="M23" s="96">
        <v>0.19194013006724644</v>
      </c>
      <c r="N23" s="94">
        <v>0.51519999999999999</v>
      </c>
      <c r="Q23" s="39"/>
      <c r="S23" s="65"/>
      <c r="T23" s="66"/>
      <c r="U23" s="66"/>
      <c r="V23" s="8"/>
    </row>
    <row r="24" spans="2:22" x14ac:dyDescent="0.25">
      <c r="B24" t="s">
        <v>5</v>
      </c>
      <c r="C24" s="2">
        <f>IF(C16&lt;U15,0,IF(AND(C16&gt;=U15,C16&lt;=U16),C16-U15,IF(C16&gt;U16,U16-U15,0)))*T15</f>
        <v>0</v>
      </c>
      <c r="D24" s="36"/>
      <c r="E24" s="1"/>
      <c r="G24" s="94">
        <v>0.21426913784166268</v>
      </c>
      <c r="H24" s="94">
        <v>0.18940423714044949</v>
      </c>
      <c r="I24" s="94">
        <v>0.15740703597494096</v>
      </c>
      <c r="J24" s="94">
        <v>0.14698485849413623</v>
      </c>
      <c r="K24" s="94">
        <v>0.16912056188817165</v>
      </c>
      <c r="L24" s="94">
        <v>0.10348108627733717</v>
      </c>
      <c r="M24" s="96">
        <v>0.21426913784166268</v>
      </c>
      <c r="N24" s="94">
        <v>0.51519999999999999</v>
      </c>
      <c r="Q24" s="39"/>
      <c r="S24" s="29"/>
      <c r="T24" s="30" t="s">
        <v>2</v>
      </c>
      <c r="U24" s="61" t="s">
        <v>6</v>
      </c>
      <c r="V24" s="8"/>
    </row>
    <row r="25" spans="2:22" x14ac:dyDescent="0.25">
      <c r="B25" t="s">
        <v>8</v>
      </c>
      <c r="C25" s="2">
        <f>IF(C16&lt;U16,0,IF(AND(C16&gt;U16,C16&lt;=U17),C16-U16,IF(C16&gt;U17,U17-U16,0)))*T16</f>
        <v>0</v>
      </c>
      <c r="D25" s="36"/>
      <c r="E25" s="1"/>
      <c r="G25" s="97">
        <v>0.31095530237424562</v>
      </c>
      <c r="H25" s="97">
        <v>0.28915009042027912</v>
      </c>
      <c r="I25" s="97">
        <v>0.26109022555714345</v>
      </c>
      <c r="J25" s="97">
        <v>0.25195052330684414</v>
      </c>
      <c r="K25" s="97">
        <v>0.27136237255691886</v>
      </c>
      <c r="L25" s="97">
        <v>0.21379999999771826</v>
      </c>
      <c r="M25" s="96">
        <v>0.31095530237424562</v>
      </c>
      <c r="N25" s="94">
        <v>0.51519999999999999</v>
      </c>
      <c r="Q25" s="39"/>
      <c r="S25" s="73" t="s">
        <v>15</v>
      </c>
      <c r="T25" s="70" cm="1">
        <f t="array" ref="T25">INDEX('Diagram marginalskatt'!B34:B39,MATCH(Lønnsinntekt!C6,'Diagram marginalskatt'!A34:A39,0),)</f>
        <v>0.14099999999999999</v>
      </c>
      <c r="U25" s="74">
        <v>1</v>
      </c>
      <c r="V25" s="8"/>
    </row>
    <row r="26" spans="2:22" x14ac:dyDescent="0.25">
      <c r="B26" t="s">
        <v>9</v>
      </c>
      <c r="C26" s="2">
        <f>IF($C$16&lt;U17,0,IF(AND($C$16&gt;U17,$C$16&lt;=U18),$C$16-U17,IF($C$16&gt;U18,U18-U17,0)))*T17</f>
        <v>0</v>
      </c>
      <c r="D26" s="36"/>
      <c r="E26" s="1"/>
      <c r="G26" s="97">
        <v>0.310955302366345</v>
      </c>
      <c r="H26" s="97">
        <v>0.28915009041591294</v>
      </c>
      <c r="I26" s="97">
        <v>0.26109022556390987</v>
      </c>
      <c r="J26" s="97">
        <v>0.25195052331113221</v>
      </c>
      <c r="K26" s="97">
        <v>0.27136237256719131</v>
      </c>
      <c r="L26" s="97">
        <v>0.21380000000000005</v>
      </c>
      <c r="M26" s="96">
        <v>0.310955302366345</v>
      </c>
      <c r="N26" s="94">
        <v>0.51519999999999999</v>
      </c>
      <c r="Q26" s="39"/>
      <c r="S26" s="75" t="s">
        <v>16</v>
      </c>
      <c r="T26" s="72">
        <f>T25+0.05</f>
        <v>0.191</v>
      </c>
      <c r="U26" s="64">
        <v>850000</v>
      </c>
      <c r="V26" s="8"/>
    </row>
    <row r="27" spans="2:22" x14ac:dyDescent="0.25">
      <c r="B27" t="s">
        <v>10</v>
      </c>
      <c r="C27" s="2">
        <f>IF($C$16&lt;U18,0,IF(AND($C$16&gt;U18,$C$16&lt;=U19),$C$16-U18,IF($C$16&gt;U19,U19-U18,0)))*T18</f>
        <v>0</v>
      </c>
      <c r="D27" s="36"/>
      <c r="E27" s="1"/>
      <c r="G27" s="97">
        <v>0.31095530237269081</v>
      </c>
      <c r="H27" s="97">
        <v>0.28915009042027912</v>
      </c>
      <c r="I27" s="97">
        <v>0.26109022556398176</v>
      </c>
      <c r="J27" s="97">
        <v>0.25195052331376705</v>
      </c>
      <c r="K27" s="97">
        <v>0.27136237257714857</v>
      </c>
      <c r="L27" s="97">
        <v>0.21380000000499422</v>
      </c>
      <c r="M27" s="96">
        <v>0.31095530237269081</v>
      </c>
      <c r="N27" s="94">
        <v>0.51519999999999999</v>
      </c>
      <c r="Q27" s="39"/>
      <c r="S27" s="76"/>
      <c r="T27" s="77"/>
      <c r="U27" s="66"/>
      <c r="V27" s="8"/>
    </row>
    <row r="28" spans="2:22" x14ac:dyDescent="0.25">
      <c r="B28" s="4" t="s">
        <v>11</v>
      </c>
      <c r="C28" s="5">
        <f>IF(C16&lt;U19,0,(C16-U19))*T19</f>
        <v>0</v>
      </c>
      <c r="D28" s="36"/>
      <c r="E28" s="1"/>
      <c r="G28" s="97">
        <v>0.37976100904535914</v>
      </c>
      <c r="H28" s="97">
        <v>0.3601331928759085</v>
      </c>
      <c r="I28" s="97">
        <v>0.33487529259469417</v>
      </c>
      <c r="J28" s="97">
        <v>0.32664825054305874</v>
      </c>
      <c r="K28" s="97">
        <v>0.34412169723888297</v>
      </c>
      <c r="L28" s="97">
        <v>0.29230731132075477</v>
      </c>
      <c r="M28" s="96">
        <v>0.37976100904535914</v>
      </c>
      <c r="N28" s="94">
        <v>0.51519999999999999</v>
      </c>
      <c r="Q28" s="39"/>
      <c r="S28" s="29"/>
      <c r="T28" s="78"/>
      <c r="U28" s="61" t="s">
        <v>14</v>
      </c>
      <c r="V28" s="8"/>
    </row>
    <row r="29" spans="2:22" x14ac:dyDescent="0.25">
      <c r="B29" s="23" t="s">
        <v>48</v>
      </c>
      <c r="C29" s="24">
        <f>SUM(C24:C28)</f>
        <v>0</v>
      </c>
      <c r="D29" s="33"/>
      <c r="E29" s="1"/>
      <c r="G29" s="94">
        <v>0.41980718667835226</v>
      </c>
      <c r="H29" s="94">
        <v>0.40144665461121176</v>
      </c>
      <c r="I29" s="94">
        <v>0.37781954887218039</v>
      </c>
      <c r="J29" s="94">
        <v>0.37012369172216947</v>
      </c>
      <c r="K29" s="94">
        <v>0.38646895273401299</v>
      </c>
      <c r="L29" s="94">
        <v>0.33800000000000002</v>
      </c>
      <c r="M29" s="96">
        <v>0.41980718667835226</v>
      </c>
      <c r="N29" s="94">
        <v>0.51519999999999999</v>
      </c>
      <c r="Q29" s="39"/>
      <c r="S29" s="62" t="s">
        <v>19</v>
      </c>
      <c r="T29" s="79"/>
      <c r="U29" s="64">
        <v>147450</v>
      </c>
      <c r="V29" s="8"/>
    </row>
    <row r="30" spans="2:22" ht="14.25" customHeight="1" x14ac:dyDescent="0.25">
      <c r="D30" s="36"/>
      <c r="G30" s="94">
        <v>0.41980718667835226</v>
      </c>
      <c r="H30" s="94">
        <v>0.40144665461121176</v>
      </c>
      <c r="I30" s="94">
        <v>0.37781954887218039</v>
      </c>
      <c r="J30" s="94">
        <v>0.37012369172216947</v>
      </c>
      <c r="K30" s="94">
        <v>0.38646895273401299</v>
      </c>
      <c r="L30" s="94">
        <v>0.33800000000000002</v>
      </c>
      <c r="M30" s="96">
        <v>0.41980718667835226</v>
      </c>
      <c r="N30" s="94">
        <v>0.51519999999999999</v>
      </c>
      <c r="Q30" s="39"/>
      <c r="S30" s="65"/>
      <c r="T30" s="66"/>
      <c r="U30" s="66"/>
      <c r="V30" s="8"/>
    </row>
    <row r="31" spans="2:22" ht="19.5" customHeight="1" x14ac:dyDescent="0.25">
      <c r="B31" s="23" t="s">
        <v>49</v>
      </c>
      <c r="C31" s="24">
        <f>IF(C16&lt;U22,0,IF((C16-U22)*0.25&lt;(C16*T22),(C16-U22)*0.25,C16*T22))</f>
        <v>0</v>
      </c>
      <c r="D31" s="33"/>
      <c r="G31" s="94">
        <v>0.50394390885188423</v>
      </c>
      <c r="H31" s="94">
        <v>0.48824593128390575</v>
      </c>
      <c r="I31" s="94">
        <v>0.46804511278195488</v>
      </c>
      <c r="J31" s="94">
        <v>0.46146527117031372</v>
      </c>
      <c r="K31" s="94">
        <v>0.47544022242817413</v>
      </c>
      <c r="L31" s="94">
        <v>0.434</v>
      </c>
      <c r="M31" s="96">
        <v>0.50394390885188423</v>
      </c>
      <c r="N31" s="94">
        <v>0.51519999999999999</v>
      </c>
      <c r="Q31" s="39"/>
      <c r="S31" s="29"/>
      <c r="T31" s="30" t="s">
        <v>2</v>
      </c>
      <c r="U31" s="61" t="s">
        <v>6</v>
      </c>
      <c r="V31" s="8"/>
    </row>
    <row r="32" spans="2:22" ht="16.5" customHeight="1" x14ac:dyDescent="0.25">
      <c r="C32" s="2"/>
      <c r="D32" s="37"/>
      <c r="G32" s="94">
        <v>0.50394390885188423</v>
      </c>
      <c r="H32" s="94">
        <v>0.48824593128390575</v>
      </c>
      <c r="I32" s="94">
        <v>0.46804511278195488</v>
      </c>
      <c r="J32" s="94">
        <v>0.46146527117031372</v>
      </c>
      <c r="K32" s="94">
        <v>0.47544022242817413</v>
      </c>
      <c r="L32" s="94">
        <v>0.434</v>
      </c>
      <c r="M32" s="96">
        <v>0.50394390885188423</v>
      </c>
      <c r="N32" s="94">
        <v>0.51519999999999999</v>
      </c>
      <c r="Q32" s="39"/>
      <c r="S32" s="62" t="s">
        <v>18</v>
      </c>
      <c r="T32" s="80">
        <v>0.51519999999999999</v>
      </c>
      <c r="U32" s="68">
        <v>1</v>
      </c>
      <c r="V32" s="8"/>
    </row>
    <row r="33" spans="2:22" ht="15.75" x14ac:dyDescent="0.25">
      <c r="B33" s="111" t="s">
        <v>74</v>
      </c>
      <c r="C33" s="112">
        <f>C21+C29+C31</f>
        <v>0</v>
      </c>
      <c r="D33" s="38"/>
      <c r="G33" s="94">
        <v>0.52476910159529899</v>
      </c>
      <c r="H33" s="94">
        <v>0.5103806228373694</v>
      </c>
      <c r="I33" s="94">
        <v>0.49192100538599637</v>
      </c>
      <c r="J33" s="94">
        <v>0.48592188919164475</v>
      </c>
      <c r="K33" s="94">
        <v>0.49867139061116073</v>
      </c>
      <c r="L33" s="94">
        <v>0.460952380952381</v>
      </c>
      <c r="M33" s="96">
        <v>0.52476910159529899</v>
      </c>
      <c r="N33" s="94">
        <v>0.51519999999999999</v>
      </c>
      <c r="Q33" s="39"/>
      <c r="V33" s="8"/>
    </row>
    <row r="34" spans="2:22" ht="15.75" x14ac:dyDescent="0.25">
      <c r="B34" s="116" t="s">
        <v>75</v>
      </c>
      <c r="C34" s="117">
        <f>IF(C10&lt;=U26,C10*(1+T25),(U26*(1+T25)+(C10-U26)*(1+T26)))-C10</f>
        <v>0</v>
      </c>
      <c r="D34" s="38"/>
      <c r="G34" s="94">
        <v>0.52476910159529899</v>
      </c>
      <c r="H34" s="94">
        <v>0.5103806228373694</v>
      </c>
      <c r="I34" s="94">
        <v>0.49192100538599637</v>
      </c>
      <c r="J34" s="94">
        <v>0.48592188919164475</v>
      </c>
      <c r="K34" s="94">
        <v>0.49867139061116073</v>
      </c>
      <c r="L34" s="94">
        <v>0.460952380952381</v>
      </c>
      <c r="M34" s="96">
        <v>0.52476910159529899</v>
      </c>
      <c r="N34" s="94">
        <v>0.51519999999999999</v>
      </c>
      <c r="Q34" s="39"/>
      <c r="V34" s="8"/>
    </row>
    <row r="35" spans="2:22" ht="20.25" customHeight="1" thickBot="1" x14ac:dyDescent="0.3">
      <c r="B35" s="118" t="s">
        <v>76</v>
      </c>
      <c r="C35" s="119">
        <f>SUM(C33:C34)</f>
        <v>0</v>
      </c>
      <c r="D35" s="37"/>
      <c r="G35" s="94">
        <v>0.5499580184718722</v>
      </c>
      <c r="H35" s="94">
        <v>0.53633217993079596</v>
      </c>
      <c r="I35" s="94">
        <v>0.51885098743267521</v>
      </c>
      <c r="J35" s="94">
        <v>0.51316984559491341</v>
      </c>
      <c r="K35" s="94">
        <v>0.52524357838795377</v>
      </c>
      <c r="L35" s="94">
        <v>0.48952380952380942</v>
      </c>
      <c r="M35" s="96">
        <v>0.5499580184718722</v>
      </c>
      <c r="N35" s="94">
        <v>0.51519999999999999</v>
      </c>
      <c r="Q35" s="39"/>
      <c r="T35" s="8"/>
      <c r="U35" s="8"/>
      <c r="V35" s="8"/>
    </row>
    <row r="36" spans="2:22" ht="12.75" customHeight="1" thickTop="1" x14ac:dyDescent="0.25">
      <c r="C36" s="98"/>
      <c r="D36" s="38"/>
      <c r="G36" s="94">
        <v>0.5499580184718722</v>
      </c>
      <c r="H36" s="94">
        <v>0.53633217993079596</v>
      </c>
      <c r="I36" s="94">
        <v>0.51885098743267521</v>
      </c>
      <c r="J36" s="94">
        <v>0.51316984559491341</v>
      </c>
      <c r="K36" s="94">
        <v>0.52524357838795377</v>
      </c>
      <c r="L36" s="94">
        <v>0.48952380952380942</v>
      </c>
      <c r="M36" s="96">
        <v>0.5499580184718722</v>
      </c>
      <c r="N36" s="94">
        <v>0.51519999999999999</v>
      </c>
      <c r="Q36" s="39"/>
    </row>
    <row r="37" spans="2:22" ht="17.25" customHeight="1" x14ac:dyDescent="0.25">
      <c r="D37" s="37"/>
      <c r="G37" s="94">
        <v>0.55835432409739749</v>
      </c>
      <c r="H37" s="94">
        <v>0.54498269896193785</v>
      </c>
      <c r="I37" s="94">
        <v>0.52782764811490168</v>
      </c>
      <c r="J37" s="94">
        <v>0.52225249772933724</v>
      </c>
      <c r="K37" s="94">
        <v>0.53410097431355219</v>
      </c>
      <c r="L37" s="94">
        <v>0.49904761904761941</v>
      </c>
      <c r="M37" s="96">
        <v>0.55835432409739749</v>
      </c>
      <c r="N37" s="94">
        <v>0.51519999999999999</v>
      </c>
      <c r="Q37" s="39"/>
    </row>
    <row r="38" spans="2:22" ht="19.5" thickBot="1" x14ac:dyDescent="0.35">
      <c r="B38" s="25" t="s">
        <v>57</v>
      </c>
      <c r="C38" s="26"/>
      <c r="D38" s="33"/>
      <c r="G38" s="94">
        <v>0.55835432409739749</v>
      </c>
      <c r="H38" s="94">
        <v>0.54498269896193785</v>
      </c>
      <c r="I38" s="94">
        <v>0.52782764811490168</v>
      </c>
      <c r="J38" s="94">
        <v>0.52225249772933724</v>
      </c>
      <c r="K38" s="94">
        <v>0.53410097431355219</v>
      </c>
      <c r="L38" s="94">
        <v>0.49904761904761941</v>
      </c>
      <c r="M38" s="96">
        <v>0.55835432409739749</v>
      </c>
      <c r="N38" s="94">
        <v>0.51519999999999999</v>
      </c>
      <c r="Q38" s="39"/>
    </row>
    <row r="39" spans="2:22" x14ac:dyDescent="0.25">
      <c r="D39" s="36"/>
      <c r="Q39" s="39"/>
    </row>
    <row r="40" spans="2:22" ht="16.5" thickBot="1" x14ac:dyDescent="0.3">
      <c r="B40" s="84" t="s">
        <v>53</v>
      </c>
      <c r="C40" s="122">
        <f>C11*T32</f>
        <v>0</v>
      </c>
      <c r="D40" s="34"/>
      <c r="Q40" s="39"/>
    </row>
    <row r="41" spans="2:22" ht="15.75" thickTop="1" x14ac:dyDescent="0.25">
      <c r="D41" s="34"/>
      <c r="Q41" s="39"/>
    </row>
    <row r="42" spans="2:22" x14ac:dyDescent="0.25">
      <c r="B42" s="3"/>
      <c r="D42" s="33"/>
      <c r="Q42" s="39"/>
    </row>
    <row r="43" spans="2:22" ht="19.5" thickBot="1" x14ac:dyDescent="0.35">
      <c r="B43" s="25" t="s">
        <v>58</v>
      </c>
      <c r="C43" s="27"/>
      <c r="D43" s="33"/>
      <c r="Q43" s="39"/>
    </row>
    <row r="44" spans="2:22" x14ac:dyDescent="0.25">
      <c r="C44" s="2"/>
      <c r="D44" s="33"/>
      <c r="Q44" s="39"/>
    </row>
    <row r="45" spans="2:22" ht="16.5" thickBot="1" x14ac:dyDescent="0.3">
      <c r="B45" s="28" t="s">
        <v>59</v>
      </c>
      <c r="C45" s="123">
        <f>C33+C34+C40</f>
        <v>0</v>
      </c>
      <c r="D45" s="33"/>
      <c r="Q45" s="39"/>
    </row>
    <row r="46" spans="2:22" ht="15.75" thickTop="1" x14ac:dyDescent="0.25">
      <c r="D46" s="34"/>
      <c r="Q46" s="39"/>
    </row>
  </sheetData>
  <sheetProtection algorithmName="SHA-512" hashValue="44Ej2sVX4OqPe/D9pcwZzPZLBOA8l0891R/0PV4D6lRP2TpuDsXZpYq70IlzoN10s6Oln6yKXdKepP+PG2xOlw==" saltValue="5rGI//q3An9fF8kAHbrSeQ==" spinCount="100000" sheet="1" selectLockedCells="1"/>
  <phoneticPr fontId="3" type="noConversion"/>
  <pageMargins left="0.7" right="0.7" top="0.75" bottom="0.75" header="0.3" footer="0.3"/>
  <pageSetup orientation="portrait" r:id="rId1"/>
  <ignoredErrors>
    <ignoredError sqref="H7:H12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1B4B77F-3907-4E81-BE23-0A85261B76FE}">
          <x14:formula1>
            <xm:f>'Diagram marginalskatt'!$A$27:$A$32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A699B-DDDD-47E7-A668-B5739E08034D}">
  <dimension ref="B2:F16"/>
  <sheetViews>
    <sheetView showGridLines="0" workbookViewId="0">
      <selection activeCell="F15" sqref="F15"/>
    </sheetView>
  </sheetViews>
  <sheetFormatPr baseColWidth="10" defaultRowHeight="15" x14ac:dyDescent="0.25"/>
  <cols>
    <col min="6" max="6" width="70.7109375" bestFit="1" customWidth="1"/>
  </cols>
  <sheetData>
    <row r="2" spans="2:6" ht="21" x14ac:dyDescent="0.35">
      <c r="B2" s="58" t="s">
        <v>54</v>
      </c>
    </row>
    <row r="3" spans="2:6" ht="21" x14ac:dyDescent="0.35">
      <c r="B3" s="58"/>
    </row>
    <row r="5" spans="2:6" ht="15.75" x14ac:dyDescent="0.25">
      <c r="B5" s="127" t="s">
        <v>26</v>
      </c>
      <c r="C5" s="127"/>
      <c r="D5" s="125" t="s">
        <v>0</v>
      </c>
      <c r="E5" s="126"/>
      <c r="F5" s="19"/>
    </row>
    <row r="6" spans="2:6" x14ac:dyDescent="0.25">
      <c r="B6" s="15" t="s">
        <v>28</v>
      </c>
      <c r="C6" s="15" t="s">
        <v>29</v>
      </c>
      <c r="D6" s="16" t="s">
        <v>28</v>
      </c>
      <c r="E6" s="17" t="s">
        <v>29</v>
      </c>
      <c r="F6" s="20" t="s">
        <v>77</v>
      </c>
    </row>
    <row r="7" spans="2:6" x14ac:dyDescent="0.25">
      <c r="B7" s="1">
        <v>1</v>
      </c>
      <c r="C7" s="2">
        <v>79470.62</v>
      </c>
      <c r="D7" s="11">
        <v>1</v>
      </c>
      <c r="E7" s="12">
        <v>69650</v>
      </c>
      <c r="F7" s="19" t="s">
        <v>15</v>
      </c>
    </row>
    <row r="8" spans="2:6" x14ac:dyDescent="0.25">
      <c r="B8" s="2">
        <f>D8*(1+Lønnsinntekt!$T$25)</f>
        <v>79471.790999999997</v>
      </c>
      <c r="C8" s="2">
        <f>E8*(1+Lønnsinntekt!$T$25)</f>
        <v>186479.33499999999</v>
      </c>
      <c r="D8" s="18">
        <v>69651</v>
      </c>
      <c r="E8" s="12">
        <v>163435</v>
      </c>
      <c r="F8" s="19" t="s">
        <v>31</v>
      </c>
    </row>
    <row r="9" spans="2:6" x14ac:dyDescent="0.25">
      <c r="B9" s="2">
        <f>D9*(1+Lønnsinntekt!$T$25)</f>
        <v>186480.476</v>
      </c>
      <c r="C9" s="2">
        <f>E9*(1+Lønnsinntekt!$T$25)</f>
        <v>237385.05000000002</v>
      </c>
      <c r="D9" s="18">
        <v>163436</v>
      </c>
      <c r="E9" s="12">
        <v>208050</v>
      </c>
      <c r="F9" s="19" t="s">
        <v>32</v>
      </c>
    </row>
    <row r="10" spans="2:6" x14ac:dyDescent="0.25">
      <c r="B10" s="2">
        <f>D10*(1+Lønnsinntekt!$T$25)</f>
        <v>237386.19099999999</v>
      </c>
      <c r="C10" s="2">
        <f>E10*(1+Lønnsinntekt!$T$25)</f>
        <v>259086.87</v>
      </c>
      <c r="D10" s="18">
        <v>208051</v>
      </c>
      <c r="E10" s="12">
        <v>227070</v>
      </c>
      <c r="F10" s="19" t="s">
        <v>33</v>
      </c>
    </row>
    <row r="11" spans="2:6" x14ac:dyDescent="0.25">
      <c r="B11" s="2">
        <f>D11*(1+Lønnsinntekt!$T$25)</f>
        <v>259088.011</v>
      </c>
      <c r="C11" s="2">
        <f>E11*(1+Lønnsinntekt!$T$25)</f>
        <v>334141.84999999998</v>
      </c>
      <c r="D11" s="18">
        <v>227071</v>
      </c>
      <c r="E11" s="12">
        <v>292850</v>
      </c>
      <c r="F11" s="19" t="s">
        <v>33</v>
      </c>
    </row>
    <row r="12" spans="2:6" x14ac:dyDescent="0.25">
      <c r="B12" s="2">
        <f>D12*(1+Lønnsinntekt!$T$25)</f>
        <v>334142.99099999998</v>
      </c>
      <c r="C12" s="2">
        <f>E12*(1+Lønnsinntekt!$T$25)</f>
        <v>764470</v>
      </c>
      <c r="D12" s="18">
        <v>292851</v>
      </c>
      <c r="E12" s="12">
        <v>670000</v>
      </c>
      <c r="F12" s="19" t="s">
        <v>34</v>
      </c>
    </row>
    <row r="13" spans="2:6" x14ac:dyDescent="0.25">
      <c r="B13" s="2">
        <f>D13*(1+Lønnsinntekt!$T$25)</f>
        <v>764471.14100000006</v>
      </c>
      <c r="C13" s="2">
        <f>E13*(1+Lønnsinntekt!$T$25)</f>
        <v>969850</v>
      </c>
      <c r="D13" s="18">
        <v>670001</v>
      </c>
      <c r="E13" s="12">
        <v>850000</v>
      </c>
      <c r="F13" s="19" t="s">
        <v>35</v>
      </c>
    </row>
    <row r="14" spans="2:6" x14ac:dyDescent="0.25">
      <c r="B14" s="2">
        <v>855751</v>
      </c>
      <c r="C14" s="2">
        <v>1066319</v>
      </c>
      <c r="D14" s="18">
        <v>850001</v>
      </c>
      <c r="E14" s="12">
        <v>937900</v>
      </c>
      <c r="F14" s="19" t="s">
        <v>36</v>
      </c>
    </row>
    <row r="15" spans="2:6" x14ac:dyDescent="0.25">
      <c r="B15" s="2">
        <v>1066320</v>
      </c>
      <c r="C15" s="2">
        <v>1749000</v>
      </c>
      <c r="D15" s="18">
        <v>937901</v>
      </c>
      <c r="E15" s="12">
        <v>1350000</v>
      </c>
      <c r="F15" s="19" t="s">
        <v>37</v>
      </c>
    </row>
    <row r="16" spans="2:6" x14ac:dyDescent="0.25">
      <c r="B16" s="2">
        <v>1749001</v>
      </c>
      <c r="C16" s="2"/>
      <c r="D16" s="18">
        <v>1350001</v>
      </c>
      <c r="E16" s="12"/>
      <c r="F16" s="19" t="s">
        <v>38</v>
      </c>
    </row>
  </sheetData>
  <mergeCells count="2">
    <mergeCell ref="D5:E5"/>
    <mergeCell ref="B5:C5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6333C-FB76-41DF-9990-5F15975685F2}">
  <dimension ref="A3:M45"/>
  <sheetViews>
    <sheetView showGridLines="0" zoomScaleNormal="100" workbookViewId="0">
      <selection activeCell="B8" sqref="B8"/>
    </sheetView>
  </sheetViews>
  <sheetFormatPr baseColWidth="10" defaultRowHeight="15" x14ac:dyDescent="0.25"/>
  <cols>
    <col min="1" max="1" width="18.85546875" customWidth="1"/>
    <col min="2" max="12" width="14.28515625" style="1" customWidth="1"/>
    <col min="13" max="13" width="13.140625" bestFit="1" customWidth="1"/>
  </cols>
  <sheetData>
    <row r="3" spans="1:13" ht="30" x14ac:dyDescent="0.25">
      <c r="A3" s="3" t="s">
        <v>64</v>
      </c>
      <c r="B3" s="95" t="s">
        <v>0</v>
      </c>
      <c r="C3" s="95" t="s">
        <v>27</v>
      </c>
      <c r="D3" s="103" t="s">
        <v>30</v>
      </c>
    </row>
    <row r="4" spans="1:13" x14ac:dyDescent="0.25">
      <c r="A4" s="110" t="str">
        <f>Lønnsinntekt!$C$6</f>
        <v>14,1% - Sone 1 og 1a</v>
      </c>
      <c r="B4" s="2">
        <v>1</v>
      </c>
      <c r="C4" s="2">
        <f>B4*(1+Lønnsinntekt!$T$25)</f>
        <v>1.141</v>
      </c>
      <c r="D4" s="104"/>
    </row>
    <row r="5" spans="1:13" x14ac:dyDescent="0.25">
      <c r="A5" s="110" t="str">
        <f>Lønnsinntekt!$C$6</f>
        <v>14,1% - Sone 1 og 1a</v>
      </c>
      <c r="B5" s="2">
        <v>69650</v>
      </c>
      <c r="C5" s="2">
        <f>B5*(1+Lønnsinntekt!$T$25)</f>
        <v>79470.649999999994</v>
      </c>
      <c r="D5" s="105">
        <f>B5*Lønnsinntekt!$T$25/C5</f>
        <v>0.12357581069237511</v>
      </c>
    </row>
    <row r="6" spans="1:13" x14ac:dyDescent="0.25">
      <c r="A6" s="110" t="str">
        <f>Lønnsinntekt!$C$6</f>
        <v>14,1% - Sone 1 og 1a</v>
      </c>
      <c r="B6" s="2">
        <v>69651</v>
      </c>
      <c r="C6" s="2">
        <f>B6*(1+Lønnsinntekt!$T$25)</f>
        <v>79471.790999999997</v>
      </c>
      <c r="D6" s="105">
        <f>((B6*Lønnsinntekt!$T$25)+((B6-B5)*Lønnsinntekt!$T$22))/C6</f>
        <v>0.12357679217270942</v>
      </c>
    </row>
    <row r="7" spans="1:13" x14ac:dyDescent="0.25">
      <c r="A7" s="110" t="str">
        <f>Lønnsinntekt!$C$6</f>
        <v>14,1% - Sone 1 og 1a</v>
      </c>
      <c r="B7" s="2">
        <v>101180</v>
      </c>
      <c r="C7" s="2">
        <f>B7*(1+Lønnsinntekt!$T$25)</f>
        <v>115446.38</v>
      </c>
      <c r="D7" s="105">
        <f>((B7*Lønnsinntekt!$T$25)+(B7*Lønnsinntekt!$T$22))/C7</f>
        <v>0.19193689745836984</v>
      </c>
      <c r="G7" s="124"/>
      <c r="H7" s="2"/>
    </row>
    <row r="8" spans="1:13" x14ac:dyDescent="0.25">
      <c r="A8" s="110" t="str">
        <f>Lønnsinntekt!$C$6</f>
        <v>14,1% - Sone 1 og 1a</v>
      </c>
      <c r="B8" s="2">
        <v>163431</v>
      </c>
      <c r="C8" s="2">
        <f>B8*(1+Lønnsinntekt!$T$25)</f>
        <v>186474.77100000001</v>
      </c>
      <c r="D8" s="105">
        <f>((B8*Lønnsinntekt!$T$25)+(B8*Lønnsinntekt!$T$22)+(B8-(B8*Lønnsinntekt!$T$9)-Lønnsinntekt!$U$6)*Lønnsinntekt!$T$12)/C8</f>
        <v>0.19194013006724644</v>
      </c>
    </row>
    <row r="9" spans="1:13" x14ac:dyDescent="0.25">
      <c r="A9" s="110" t="str">
        <f>Lønnsinntekt!$C$6</f>
        <v>14,1% - Sone 1 og 1a</v>
      </c>
      <c r="B9" s="2">
        <v>208050</v>
      </c>
      <c r="C9" s="2">
        <f>B9*(1+Lønnsinntekt!$T$25)</f>
        <v>237385.05000000002</v>
      </c>
      <c r="D9" s="105">
        <f>((B9*Lønnsinntekt!$T$25)+(B9*Lønnsinntekt!$T$22)+(B9-(B9*Lønnsinntekt!$T$9)-Lønnsinntekt!$U$6)*Lønnsinntekt!$T$12)/C9</f>
        <v>0.21426913784166268</v>
      </c>
      <c r="H9" s="2"/>
    </row>
    <row r="10" spans="1:13" x14ac:dyDescent="0.25">
      <c r="A10" s="110" t="str">
        <f>Lønnsinntekt!$C$6</f>
        <v>14,1% - Sone 1 og 1a</v>
      </c>
      <c r="B10" s="2">
        <v>208051</v>
      </c>
      <c r="C10" s="2">
        <f>B10*(1+Lønnsinntekt!$T$25)</f>
        <v>237386.19099999999</v>
      </c>
      <c r="D10" s="106">
        <f>((B10*Lønnsinntekt!$T$22)+(B10-Lønnsinntekt!$U$6-(B10*Lønnsinntekt!$T$9))*Lønnsinntekt!$T$12+(B10*Lønnsinntekt!$T$25)+(B10-B9)*Lønnsinntekt!$T$15-((B9*Lønnsinntekt!$T$25)+(B9*Lønnsinntekt!$T$22)+(B9-(B9*Lønnsinntekt!$T$9)-Lønnsinntekt!$U$6)*Lønnsinntekt!$T$12))/((B10*(1+Lønnsinntekt!$T$25))-(B9*(1+Lønnsinntekt!$T$25)))</f>
        <v>0.31095530237424562</v>
      </c>
      <c r="M10" s="99"/>
    </row>
    <row r="11" spans="1:13" x14ac:dyDescent="0.25">
      <c r="A11" s="110" t="str">
        <f>Lønnsinntekt!$C$6</f>
        <v>14,1% - Sone 1 og 1a</v>
      </c>
      <c r="B11" s="2">
        <v>227070</v>
      </c>
      <c r="C11" s="2">
        <f>B11*(1+Lønnsinntekt!$T$25)</f>
        <v>259086.87</v>
      </c>
      <c r="D11" s="106">
        <f>((B11*Lønnsinntekt!$T$22)+(B11-Lønnsinntekt!$U$6-(B11*Lønnsinntekt!$T$9))*Lønnsinntekt!$T$12+(B11*Lønnsinntekt!$T$25)+(B11-B10)*Lønnsinntekt!$T$15-((B10*Lønnsinntekt!$T$25)+(B10*Lønnsinntekt!$T$22)+(B10-(B10*Lønnsinntekt!$T$9)-Lønnsinntekt!$U$6)*Lønnsinntekt!$T$12))/((B11*(1+Lønnsinntekt!$T$25))-(B10*(1+Lønnsinntekt!$T$25)))</f>
        <v>0.310955302366345</v>
      </c>
      <c r="M11" s="99"/>
    </row>
    <row r="12" spans="1:13" x14ac:dyDescent="0.25">
      <c r="A12" s="110" t="str">
        <f>Lønnsinntekt!$C$6</f>
        <v>14,1% - Sone 1 og 1a</v>
      </c>
      <c r="B12" s="2">
        <v>227071</v>
      </c>
      <c r="C12" s="2">
        <v>227071</v>
      </c>
      <c r="D12" s="106">
        <f>((B12*Lønnsinntekt!$T$22)+(B12-Lønnsinntekt!$U$6-(B12*Lønnsinntekt!$T$9))*Lønnsinntekt!$T$12+(B12*Lønnsinntekt!$T$25)+(B12-B11)*Lønnsinntekt!$T$15-((B11*Lønnsinntekt!$T$25)+(B11*Lønnsinntekt!$T$22)+(B11-(B11*Lønnsinntekt!$T$9)-Lønnsinntekt!$U$6)*Lønnsinntekt!$T$12))/((B12*(1+Lønnsinntekt!$T$25))-(B11*(1+Lønnsinntekt!$T$25)))</f>
        <v>0.31095530237269081</v>
      </c>
      <c r="M12" s="99"/>
    </row>
    <row r="13" spans="1:13" x14ac:dyDescent="0.25">
      <c r="A13" s="110" t="str">
        <f>Lønnsinntekt!$C$6</f>
        <v>14,1% - Sone 1 og 1a</v>
      </c>
      <c r="B13" s="2">
        <v>292850</v>
      </c>
      <c r="C13" s="2">
        <f>B13*(1+Lønnsinntekt!$T$25)</f>
        <v>334141.84999999998</v>
      </c>
      <c r="D13" s="106">
        <f>((B13*Lønnsinntekt!$T$22)+(B13*Lønnsinntekt!$T$25)+((B13-Lønnsinntekt!$U$9-Lønnsinntekt!$U$6)*Lønnsinntekt!$T$12)+((B13-Lønnsinntekt!$U$15)*Lønnsinntekt!$T$15)-((B9*Lønnsinntekt!$T$25)+(B9*Lønnsinntekt!$T$22)+(B9-(B9*Lønnsinntekt!$T$9)-Lønnsinntekt!$U$6)*Lønnsinntekt!$T$12))/((B13-B9)*(1+Lønnsinntekt!$T$25))</f>
        <v>0.37976100904535914</v>
      </c>
    </row>
    <row r="14" spans="1:13" x14ac:dyDescent="0.25">
      <c r="A14" s="110" t="str">
        <f>Lønnsinntekt!$C$6</f>
        <v>14,1% - Sone 1 og 1a</v>
      </c>
      <c r="B14" s="2">
        <v>292851</v>
      </c>
      <c r="C14" s="2">
        <f>B14*(1+Lønnsinntekt!$T$25)</f>
        <v>334142.99099999998</v>
      </c>
      <c r="D14" s="105">
        <f>Lønnsinntekt!J8</f>
        <v>0</v>
      </c>
    </row>
    <row r="15" spans="1:13" x14ac:dyDescent="0.25">
      <c r="A15" s="110" t="str">
        <f>Lønnsinntekt!$C$6</f>
        <v>14,1% - Sone 1 og 1a</v>
      </c>
      <c r="B15" s="2">
        <v>670000</v>
      </c>
      <c r="C15" s="2">
        <f>B15*(1+Lønnsinntekt!$T$25)</f>
        <v>764470</v>
      </c>
      <c r="D15" s="105">
        <f>Lønnsinntekt!J8</f>
        <v>0</v>
      </c>
    </row>
    <row r="16" spans="1:13" x14ac:dyDescent="0.25">
      <c r="A16" s="110" t="str">
        <f>Lønnsinntekt!$C$6</f>
        <v>14,1% - Sone 1 og 1a</v>
      </c>
      <c r="B16" s="2">
        <v>670001</v>
      </c>
      <c r="C16" s="2">
        <f>B16*(1+Lønnsinntekt!$T$25)</f>
        <v>764471.14100000006</v>
      </c>
      <c r="D16" s="105">
        <f>Lønnsinntekt!J9</f>
        <v>0</v>
      </c>
    </row>
    <row r="17" spans="1:12" x14ac:dyDescent="0.25">
      <c r="A17" s="110" t="str">
        <f>Lønnsinntekt!$C$6</f>
        <v>14,1% - Sone 1 og 1a</v>
      </c>
      <c r="B17" s="2">
        <v>850000</v>
      </c>
      <c r="C17" s="2">
        <f>Lønnsinntekt!$U$26*(1+Lønnsinntekt!$T$25)+(B17-Lønnsinntekt!$U$26)*(1+Lønnsinntekt!$T$26)</f>
        <v>969850</v>
      </c>
      <c r="D17" s="105">
        <f>Lønnsinntekt!J9</f>
        <v>0</v>
      </c>
    </row>
    <row r="18" spans="1:12" x14ac:dyDescent="0.25">
      <c r="A18" s="110" t="str">
        <f>Lønnsinntekt!$C$6</f>
        <v>14,1% - Sone 1 og 1a</v>
      </c>
      <c r="B18" s="2">
        <v>850001</v>
      </c>
      <c r="C18" s="2">
        <f>Lønnsinntekt!$U$26*(1+Lønnsinntekt!$T$25)+(B18-Lønnsinntekt!$U$26)*(1+Lønnsinntekt!$T$26)</f>
        <v>969851.19099999999</v>
      </c>
      <c r="D18" s="105">
        <f>Lønnsinntekt!J10</f>
        <v>0</v>
      </c>
    </row>
    <row r="19" spans="1:12" x14ac:dyDescent="0.25">
      <c r="A19" s="110" t="str">
        <f>Lønnsinntekt!$C$6</f>
        <v>14,1% - Sone 1 og 1a</v>
      </c>
      <c r="B19" s="2">
        <v>937900</v>
      </c>
      <c r="C19" s="2">
        <f>Lønnsinntekt!$U$26*(1+Lønnsinntekt!$T$25)+(B19-Lønnsinntekt!$U$26)*(1+Lønnsinntekt!$T$26)</f>
        <v>1074538.8999999999</v>
      </c>
      <c r="D19" s="105">
        <f>D18</f>
        <v>0</v>
      </c>
    </row>
    <row r="20" spans="1:12" x14ac:dyDescent="0.25">
      <c r="A20" s="110" t="str">
        <f>Lønnsinntekt!$C$6</f>
        <v>14,1% - Sone 1 og 1a</v>
      </c>
      <c r="B20" s="2">
        <v>937901</v>
      </c>
      <c r="C20" s="2">
        <f>Lønnsinntekt!$U$26*(1+Lønnsinntekt!$T$25)+(B20-Lønnsinntekt!$U$26)*(1+Lønnsinntekt!$T$26)</f>
        <v>1074540.091</v>
      </c>
      <c r="D20" s="105">
        <f>Lønnsinntekt!J11</f>
        <v>0</v>
      </c>
    </row>
    <row r="21" spans="1:12" x14ac:dyDescent="0.25">
      <c r="A21" s="110" t="str">
        <f>Lønnsinntekt!$C$6</f>
        <v>14,1% - Sone 1 og 1a</v>
      </c>
      <c r="B21" s="2">
        <v>1350000</v>
      </c>
      <c r="C21" s="2">
        <f>Lønnsinntekt!$U$26*(1+Lønnsinntekt!$T$25)+(B21-Lønnsinntekt!$U$26)*(1+Lønnsinntekt!$T$26)</f>
        <v>1565350</v>
      </c>
      <c r="D21" s="105">
        <f>D20</f>
        <v>0</v>
      </c>
    </row>
    <row r="22" spans="1:12" x14ac:dyDescent="0.25">
      <c r="A22" s="110" t="str">
        <f>Lønnsinntekt!$C$6</f>
        <v>14,1% - Sone 1 og 1a</v>
      </c>
      <c r="B22" s="2">
        <v>1350001</v>
      </c>
      <c r="C22" s="2">
        <f>Lønnsinntekt!$U$26*(1+Lønnsinntekt!$T$25)+(B22-Lønnsinntekt!$U$26)*(1+Lønnsinntekt!$T$26)</f>
        <v>1565351.1910000001</v>
      </c>
      <c r="D22" s="105">
        <f>Lønnsinntekt!J12</f>
        <v>0</v>
      </c>
    </row>
    <row r="23" spans="1:12" x14ac:dyDescent="0.25">
      <c r="A23" s="110" t="str">
        <f>Lønnsinntekt!$C$6</f>
        <v>14,1% - Sone 1 og 1a</v>
      </c>
      <c r="B23" s="2">
        <v>1680000</v>
      </c>
      <c r="C23" s="2">
        <f>Lønnsinntekt!$U$26*(1+Lønnsinntekt!$T$25)+(B23-Lønnsinntekt!$U$26)*(1+Lønnsinntekt!$T$26)</f>
        <v>1958380</v>
      </c>
      <c r="D23" s="107">
        <f>D22</f>
        <v>0</v>
      </c>
    </row>
    <row r="24" spans="1:12" x14ac:dyDescent="0.25">
      <c r="B24" s="2"/>
      <c r="C24" s="2"/>
      <c r="D24" s="94"/>
      <c r="E24" s="94"/>
      <c r="F24" s="94"/>
      <c r="G24" s="94"/>
      <c r="H24" s="94"/>
      <c r="I24" s="94"/>
      <c r="J24" s="94"/>
      <c r="K24" s="94"/>
      <c r="L24" s="94"/>
    </row>
    <row r="25" spans="1:12" x14ac:dyDescent="0.25">
      <c r="B25" s="2"/>
      <c r="C25" s="2"/>
      <c r="D25" s="94"/>
      <c r="E25" s="94"/>
      <c r="F25" s="94"/>
      <c r="G25" s="94"/>
      <c r="H25" s="94"/>
      <c r="I25" s="94"/>
      <c r="J25" s="94"/>
      <c r="K25" s="94"/>
      <c r="L25" s="94"/>
    </row>
    <row r="26" spans="1:12" x14ac:dyDescent="0.25">
      <c r="A26" s="3" t="s">
        <v>66</v>
      </c>
      <c r="B26" s="2"/>
      <c r="C26" s="2"/>
      <c r="D26" s="13"/>
      <c r="E26" s="13"/>
      <c r="F26" s="13"/>
      <c r="G26" s="13"/>
      <c r="H26" s="13"/>
      <c r="I26" s="13"/>
      <c r="J26" s="13"/>
      <c r="K26" s="13"/>
      <c r="L26" s="13"/>
    </row>
    <row r="27" spans="1:12" x14ac:dyDescent="0.25">
      <c r="A27" s="110" t="s">
        <v>67</v>
      </c>
      <c r="B27" s="102">
        <v>0.14099999999999999</v>
      </c>
      <c r="C27" s="2"/>
      <c r="D27" s="13"/>
      <c r="E27" s="13"/>
      <c r="F27" s="13"/>
      <c r="G27" s="13"/>
      <c r="H27" s="13"/>
      <c r="I27" s="13"/>
      <c r="J27" s="13"/>
      <c r="K27" s="13"/>
      <c r="L27" s="13"/>
    </row>
    <row r="28" spans="1:12" x14ac:dyDescent="0.25">
      <c r="A28" s="110" t="s">
        <v>68</v>
      </c>
      <c r="B28" s="102">
        <v>0.106</v>
      </c>
      <c r="C28" s="2"/>
      <c r="D28" s="13"/>
      <c r="E28" s="13"/>
      <c r="F28" s="13"/>
      <c r="G28" s="13"/>
      <c r="H28" s="13"/>
      <c r="I28" s="13"/>
      <c r="J28" s="13"/>
      <c r="K28" s="13"/>
      <c r="L28" s="13"/>
    </row>
    <row r="29" spans="1:12" x14ac:dyDescent="0.25">
      <c r="A29" s="110" t="s">
        <v>69</v>
      </c>
      <c r="B29" s="102">
        <v>6.4000000000000001E-2</v>
      </c>
      <c r="C29" s="2"/>
      <c r="D29" s="13"/>
      <c r="E29" s="13"/>
      <c r="F29" s="13"/>
      <c r="G29" s="13"/>
      <c r="H29" s="13"/>
      <c r="I29" s="13"/>
      <c r="J29" s="13"/>
      <c r="K29" s="13"/>
      <c r="L29" s="13"/>
    </row>
    <row r="30" spans="1:12" x14ac:dyDescent="0.25">
      <c r="A30" s="110" t="s">
        <v>70</v>
      </c>
      <c r="B30" s="102">
        <v>5.0999999999999997E-2</v>
      </c>
      <c r="C30" s="2"/>
      <c r="D30" s="13"/>
      <c r="E30" s="13"/>
      <c r="F30" s="13"/>
      <c r="G30" s="13"/>
      <c r="H30" s="13"/>
      <c r="I30" s="13"/>
      <c r="J30" s="13"/>
      <c r="K30" s="13"/>
      <c r="L30" s="13"/>
    </row>
    <row r="31" spans="1:12" x14ac:dyDescent="0.25">
      <c r="A31" s="110" t="s">
        <v>71</v>
      </c>
      <c r="B31" s="102">
        <v>7.9000000000000001E-2</v>
      </c>
      <c r="C31" s="2"/>
      <c r="D31" s="13"/>
      <c r="E31" s="13"/>
      <c r="F31" s="13"/>
      <c r="G31" s="13"/>
      <c r="H31" s="13"/>
      <c r="I31" s="13"/>
      <c r="J31" s="13"/>
      <c r="K31" s="13"/>
      <c r="L31" s="13"/>
    </row>
    <row r="32" spans="1:12" x14ac:dyDescent="0.25">
      <c r="A32" s="110" t="s">
        <v>72</v>
      </c>
      <c r="B32" s="101">
        <v>0</v>
      </c>
      <c r="C32" s="2"/>
      <c r="D32" s="13"/>
      <c r="E32" s="13"/>
      <c r="F32" s="13"/>
      <c r="G32" s="13"/>
      <c r="H32" s="13"/>
      <c r="I32" s="13"/>
      <c r="J32" s="13"/>
      <c r="K32" s="13"/>
      <c r="L32" s="13"/>
    </row>
    <row r="33" spans="1:12" x14ac:dyDescent="0.25">
      <c r="A33" s="110"/>
      <c r="B33" s="2"/>
      <c r="C33" s="2"/>
      <c r="D33" s="13"/>
      <c r="E33" s="13"/>
      <c r="F33" s="13"/>
      <c r="G33" s="13"/>
      <c r="H33" s="13"/>
      <c r="I33" s="13"/>
      <c r="J33" s="13"/>
      <c r="K33" s="13"/>
      <c r="L33" s="13"/>
    </row>
    <row r="34" spans="1:12" x14ac:dyDescent="0.25">
      <c r="A34" s="110" t="s">
        <v>67</v>
      </c>
      <c r="B34" s="102">
        <v>0.14099999999999999</v>
      </c>
      <c r="C34" s="2"/>
      <c r="D34" s="13"/>
      <c r="E34" s="13"/>
      <c r="F34" s="13"/>
      <c r="G34" s="13"/>
      <c r="H34" s="13"/>
      <c r="I34" s="13"/>
      <c r="J34" s="13"/>
      <c r="K34" s="13"/>
      <c r="L34" s="13"/>
    </row>
    <row r="35" spans="1:12" x14ac:dyDescent="0.25">
      <c r="A35" s="110" t="s">
        <v>68</v>
      </c>
      <c r="B35" s="102">
        <v>0.106</v>
      </c>
      <c r="C35" s="2"/>
      <c r="D35" s="13"/>
      <c r="E35" s="13"/>
      <c r="F35" s="13"/>
      <c r="G35" s="13"/>
      <c r="H35" s="13"/>
      <c r="I35" s="13"/>
      <c r="J35" s="13"/>
      <c r="K35" s="13"/>
      <c r="L35" s="13"/>
    </row>
    <row r="36" spans="1:12" x14ac:dyDescent="0.25">
      <c r="A36" s="110" t="s">
        <v>69</v>
      </c>
      <c r="B36" s="102">
        <v>6.4000000000000001E-2</v>
      </c>
      <c r="C36" s="2"/>
      <c r="D36" s="13"/>
      <c r="E36" s="13"/>
      <c r="F36" s="13"/>
      <c r="G36" s="13"/>
      <c r="H36" s="13"/>
      <c r="I36" s="13"/>
      <c r="J36" s="13"/>
      <c r="K36" s="13"/>
      <c r="L36" s="13"/>
    </row>
    <row r="37" spans="1:12" x14ac:dyDescent="0.25">
      <c r="A37" s="110" t="s">
        <v>70</v>
      </c>
      <c r="B37" s="102">
        <v>5.0999999999999997E-2</v>
      </c>
      <c r="C37" s="2"/>
      <c r="D37" s="13"/>
      <c r="E37" s="13"/>
      <c r="F37" s="13"/>
      <c r="G37" s="13"/>
      <c r="H37" s="13"/>
      <c r="I37" s="13"/>
      <c r="J37" s="13"/>
      <c r="K37" s="13"/>
      <c r="L37" s="13"/>
    </row>
    <row r="38" spans="1:12" x14ac:dyDescent="0.25">
      <c r="A38" s="110" t="s">
        <v>71</v>
      </c>
      <c r="B38" s="102">
        <v>7.9000000000000001E-2</v>
      </c>
      <c r="C38" s="2"/>
      <c r="D38" s="13"/>
      <c r="E38" s="13"/>
      <c r="F38" s="13"/>
      <c r="G38" s="13"/>
      <c r="H38" s="13"/>
      <c r="I38" s="13"/>
      <c r="J38" s="13"/>
      <c r="K38" s="13"/>
      <c r="L38" s="13"/>
    </row>
    <row r="39" spans="1:12" x14ac:dyDescent="0.25">
      <c r="A39" s="110" t="s">
        <v>72</v>
      </c>
      <c r="B39" s="101">
        <v>0</v>
      </c>
      <c r="C39" s="2"/>
      <c r="D39" s="13"/>
      <c r="E39" s="13"/>
      <c r="F39" s="13"/>
      <c r="G39" s="13"/>
      <c r="H39" s="13"/>
      <c r="I39" s="13"/>
      <c r="J39" s="13"/>
      <c r="K39" s="13"/>
      <c r="L39" s="13"/>
    </row>
    <row r="40" spans="1:12" x14ac:dyDescent="0.25">
      <c r="B40" s="2"/>
      <c r="C40" s="2"/>
      <c r="D40" s="13"/>
      <c r="E40" s="13"/>
      <c r="F40" s="13"/>
      <c r="G40" s="13"/>
      <c r="H40" s="13"/>
      <c r="I40" s="13"/>
      <c r="J40" s="13"/>
      <c r="K40" s="13"/>
      <c r="L40" s="13"/>
    </row>
    <row r="41" spans="1:12" x14ac:dyDescent="0.25">
      <c r="B41" s="2"/>
      <c r="C41" s="2"/>
      <c r="D41" s="13"/>
      <c r="E41" s="13"/>
      <c r="F41" s="13"/>
      <c r="G41" s="13"/>
      <c r="H41" s="13"/>
      <c r="I41" s="13"/>
      <c r="J41" s="13"/>
      <c r="K41" s="13"/>
      <c r="L41" s="13"/>
    </row>
    <row r="42" spans="1:12" x14ac:dyDescent="0.25">
      <c r="B42" s="2"/>
      <c r="C42" s="2"/>
      <c r="D42" s="13"/>
      <c r="E42" s="13"/>
      <c r="F42" s="13"/>
      <c r="G42" s="13"/>
      <c r="H42" s="13"/>
      <c r="I42" s="13"/>
      <c r="J42" s="13"/>
      <c r="K42" s="13"/>
      <c r="L42" s="13"/>
    </row>
    <row r="43" spans="1:12" x14ac:dyDescent="0.25">
      <c r="B43" s="2"/>
      <c r="C43" s="2"/>
      <c r="D43" s="13"/>
      <c r="E43" s="13"/>
      <c r="F43" s="13"/>
      <c r="G43" s="13"/>
      <c r="H43" s="13"/>
      <c r="I43" s="13"/>
      <c r="J43" s="13"/>
      <c r="K43" s="13"/>
      <c r="L43" s="13"/>
    </row>
    <row r="44" spans="1:12" x14ac:dyDescent="0.25">
      <c r="B44" s="2"/>
      <c r="C44" s="2"/>
      <c r="D44" s="13"/>
      <c r="E44" s="13"/>
      <c r="F44" s="13"/>
      <c r="G44" s="13"/>
      <c r="H44" s="13"/>
      <c r="I44" s="13"/>
      <c r="J44" s="13"/>
      <c r="K44" s="13"/>
      <c r="L44" s="13"/>
    </row>
    <row r="45" spans="1:12" x14ac:dyDescent="0.25">
      <c r="B45" s="2"/>
      <c r="C45" s="2"/>
      <c r="D45" s="13"/>
      <c r="E45" s="13"/>
      <c r="F45" s="13"/>
      <c r="G45" s="13"/>
      <c r="H45" s="13"/>
      <c r="I45" s="13"/>
      <c r="J45" s="13"/>
      <c r="K45" s="13"/>
      <c r="L45" s="13"/>
    </row>
  </sheetData>
  <phoneticPr fontId="3" type="noConversion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0FC88-C42E-436E-B0D6-8D4E1900FA52}">
  <dimension ref="A2:M25"/>
  <sheetViews>
    <sheetView showGridLines="0" workbookViewId="0">
      <selection activeCell="D23" sqref="D23"/>
    </sheetView>
  </sheetViews>
  <sheetFormatPr baseColWidth="10" defaultRowHeight="15" x14ac:dyDescent="0.25"/>
  <cols>
    <col min="2" max="2" width="12.5703125" bestFit="1" customWidth="1"/>
    <col min="9" max="9" width="20" customWidth="1"/>
    <col min="10" max="11" width="11.42578125" style="1"/>
  </cols>
  <sheetData>
    <row r="2" spans="1:13" x14ac:dyDescent="0.25">
      <c r="A2" s="1" t="s">
        <v>21</v>
      </c>
      <c r="B2" t="s">
        <v>22</v>
      </c>
      <c r="C2" t="s">
        <v>24</v>
      </c>
      <c r="D2" t="s">
        <v>23</v>
      </c>
      <c r="J2" s="2"/>
    </row>
    <row r="3" spans="1:13" x14ac:dyDescent="0.25">
      <c r="A3" s="2">
        <v>0</v>
      </c>
    </row>
    <row r="4" spans="1:13" x14ac:dyDescent="0.25">
      <c r="A4" s="2">
        <v>50000</v>
      </c>
      <c r="B4" s="2">
        <f>A4*(1+Lønnsinntekt!$T$25)</f>
        <v>57050</v>
      </c>
      <c r="C4" s="2">
        <v>7050</v>
      </c>
      <c r="D4" s="2"/>
    </row>
    <row r="5" spans="1:13" x14ac:dyDescent="0.25">
      <c r="A5" s="2">
        <v>100000</v>
      </c>
      <c r="B5" s="2">
        <f>A5*(1+Lønnsinntekt!$T$25)</f>
        <v>114100</v>
      </c>
      <c r="C5" s="2">
        <v>21688</v>
      </c>
      <c r="D5" s="2"/>
    </row>
    <row r="6" spans="1:13" x14ac:dyDescent="0.25">
      <c r="A6" s="2">
        <v>150000</v>
      </c>
      <c r="B6" s="2">
        <f>A6*(1+Lønnsinntekt!$T$25)</f>
        <v>171150</v>
      </c>
      <c r="C6" s="2">
        <v>33308</v>
      </c>
      <c r="D6" s="2"/>
    </row>
    <row r="7" spans="1:13" x14ac:dyDescent="0.25">
      <c r="A7" s="2">
        <v>200000</v>
      </c>
      <c r="B7" s="2">
        <f>A7*(1+Lønnsinntekt!$T$25)</f>
        <v>228200</v>
      </c>
      <c r="C7" s="2">
        <v>50276</v>
      </c>
      <c r="D7" s="2"/>
    </row>
    <row r="8" spans="1:13" x14ac:dyDescent="0.25">
      <c r="A8" s="2">
        <v>250000</v>
      </c>
      <c r="B8" s="2">
        <f>A8*(1+Lønnsinntekt!$T$25)</f>
        <v>285250</v>
      </c>
      <c r="C8" s="2">
        <v>70387</v>
      </c>
      <c r="D8" s="2"/>
    </row>
    <row r="9" spans="1:13" x14ac:dyDescent="0.25">
      <c r="A9" s="2">
        <v>300000</v>
      </c>
      <c r="B9" s="2">
        <f>A9*(1+Lønnsinntekt!$T$25)</f>
        <v>342300</v>
      </c>
      <c r="C9" s="2">
        <v>93717</v>
      </c>
      <c r="D9" s="2"/>
      <c r="I9" s="2"/>
      <c r="J9" s="2"/>
      <c r="M9" s="6"/>
    </row>
    <row r="10" spans="1:13" x14ac:dyDescent="0.25">
      <c r="A10" s="2">
        <v>350000</v>
      </c>
      <c r="B10" s="2">
        <f>A10*(1+Lønnsinntekt!$T$25)</f>
        <v>399350</v>
      </c>
      <c r="C10" s="2">
        <v>117717</v>
      </c>
      <c r="D10" s="2"/>
      <c r="I10" s="2"/>
      <c r="J10" s="2"/>
      <c r="K10" s="2"/>
      <c r="L10" s="6"/>
      <c r="M10" s="6"/>
    </row>
    <row r="11" spans="1:13" x14ac:dyDescent="0.25">
      <c r="A11" s="2">
        <v>400000</v>
      </c>
      <c r="B11" s="2">
        <f>A11*(1+Lønnsinntekt!$T$25)</f>
        <v>456400</v>
      </c>
      <c r="C11" s="2">
        <v>141717</v>
      </c>
      <c r="D11" s="2"/>
      <c r="I11" s="2"/>
      <c r="J11" s="2"/>
      <c r="K11" s="2"/>
      <c r="L11" s="6"/>
      <c r="M11" s="6"/>
    </row>
    <row r="12" spans="1:13" x14ac:dyDescent="0.25">
      <c r="A12" s="2">
        <v>450000</v>
      </c>
      <c r="B12" s="2">
        <f>A12*(1+Lønnsinntekt!$T$25)</f>
        <v>513450</v>
      </c>
      <c r="C12" s="2">
        <v>165717</v>
      </c>
      <c r="D12" s="2"/>
      <c r="I12" s="2"/>
      <c r="J12" s="2"/>
      <c r="K12" s="2"/>
      <c r="L12" s="6"/>
      <c r="M12" s="6"/>
    </row>
    <row r="13" spans="1:13" x14ac:dyDescent="0.25">
      <c r="A13" s="2">
        <v>500000</v>
      </c>
      <c r="B13" s="2">
        <f>A13*(1+Lønnsinntekt!$T$25)</f>
        <v>570500</v>
      </c>
      <c r="C13" s="2">
        <v>189717</v>
      </c>
      <c r="D13" s="2"/>
      <c r="I13" s="2"/>
      <c r="J13" s="2"/>
      <c r="K13" s="2"/>
      <c r="L13" s="6"/>
      <c r="M13" s="6"/>
    </row>
    <row r="14" spans="1:13" x14ac:dyDescent="0.25">
      <c r="A14" s="2">
        <v>550000</v>
      </c>
      <c r="B14" s="2">
        <f>A14*(1+Lønnsinntekt!$T$25)</f>
        <v>627550</v>
      </c>
      <c r="C14" s="2">
        <v>213696</v>
      </c>
      <c r="D14" s="2"/>
      <c r="I14" s="2"/>
      <c r="J14" s="2"/>
      <c r="K14" s="2"/>
      <c r="L14" s="6"/>
      <c r="M14" s="6"/>
    </row>
    <row r="15" spans="1:13" x14ac:dyDescent="0.25">
      <c r="A15" s="2">
        <v>600000</v>
      </c>
      <c r="B15" s="2">
        <f>A15*(1+Lønnsinntekt!$T$25)</f>
        <v>684600</v>
      </c>
      <c r="C15" s="2">
        <v>237717</v>
      </c>
      <c r="D15" s="2"/>
      <c r="I15" s="2"/>
      <c r="J15" s="2"/>
      <c r="K15" s="2"/>
      <c r="L15" s="6"/>
      <c r="M15" s="6"/>
    </row>
    <row r="16" spans="1:13" x14ac:dyDescent="0.25">
      <c r="A16" s="2">
        <v>650000</v>
      </c>
      <c r="B16" s="2">
        <f>A16*(1+Lønnsinntekt!$T$25)</f>
        <v>741650</v>
      </c>
      <c r="C16" s="2">
        <v>262386</v>
      </c>
      <c r="D16" s="2"/>
      <c r="I16" s="2"/>
      <c r="J16" s="2"/>
      <c r="K16" s="2"/>
      <c r="L16" s="6"/>
      <c r="M16" s="6"/>
    </row>
    <row r="17" spans="1:13" x14ac:dyDescent="0.25">
      <c r="A17" s="2">
        <v>700000</v>
      </c>
      <c r="B17" s="2">
        <f>A17*(1+Lønnsinntekt!$T$25)</f>
        <v>798700</v>
      </c>
      <c r="C17" s="2">
        <v>291136</v>
      </c>
      <c r="D17" s="2"/>
      <c r="I17" s="2"/>
      <c r="J17" s="2"/>
      <c r="K17" s="2"/>
      <c r="L17" s="6"/>
      <c r="M17" s="6"/>
    </row>
    <row r="18" spans="1:13" x14ac:dyDescent="0.25">
      <c r="A18" s="2">
        <v>750000</v>
      </c>
      <c r="B18" s="2">
        <f>A18*(1+Lønnsinntekt!$T$25)</f>
        <v>855750</v>
      </c>
      <c r="C18" s="2">
        <v>319886</v>
      </c>
      <c r="D18" s="2">
        <v>319866</v>
      </c>
      <c r="I18" s="2"/>
      <c r="J18" s="2"/>
      <c r="K18" s="2"/>
      <c r="L18" s="6"/>
      <c r="M18" s="6"/>
    </row>
    <row r="19" spans="1:13" x14ac:dyDescent="0.25">
      <c r="A19" s="2">
        <v>800000</v>
      </c>
      <c r="B19" s="2">
        <f>$B$18+($A$19-A18)*(1+Lønnsinntekt!$T$26)</f>
        <v>915300</v>
      </c>
      <c r="C19" s="2">
        <v>351136</v>
      </c>
      <c r="D19" s="2">
        <v>350567</v>
      </c>
      <c r="I19" s="2"/>
      <c r="J19" s="2"/>
      <c r="K19" s="2"/>
      <c r="L19" s="6"/>
      <c r="M19" s="6"/>
    </row>
    <row r="20" spans="1:13" x14ac:dyDescent="0.25">
      <c r="A20" s="2">
        <v>850000</v>
      </c>
      <c r="B20" s="2">
        <f>B18+(A20-$A$18)*(1+Lønnsinntekt!$T$26)</f>
        <v>974850</v>
      </c>
      <c r="C20" s="2">
        <v>382386</v>
      </c>
      <c r="D20" s="2">
        <v>381247</v>
      </c>
      <c r="I20" s="2"/>
      <c r="J20" s="2"/>
      <c r="K20" s="2"/>
      <c r="L20" s="6"/>
      <c r="M20" s="6"/>
    </row>
    <row r="21" spans="1:13" x14ac:dyDescent="0.25">
      <c r="A21" s="2">
        <v>900000</v>
      </c>
      <c r="B21" s="2">
        <f>B18+(A21-$A$18)*(1+Lønnsinntekt!$T$26)</f>
        <v>1034400</v>
      </c>
      <c r="C21" s="2">
        <v>413636</v>
      </c>
      <c r="D21" s="2">
        <v>411927</v>
      </c>
      <c r="I21" s="2"/>
      <c r="J21" s="2"/>
      <c r="K21" s="2"/>
      <c r="L21" s="6"/>
      <c r="M21" s="6"/>
    </row>
    <row r="22" spans="1:13" x14ac:dyDescent="0.25">
      <c r="A22" s="2">
        <v>950000</v>
      </c>
      <c r="B22" s="2">
        <f>B18+(A22-$A$18)*(1+Lønnsinntekt!$T$26)</f>
        <v>1093950</v>
      </c>
      <c r="C22" s="2">
        <v>445582</v>
      </c>
      <c r="D22" s="2">
        <v>442607</v>
      </c>
      <c r="I22" s="2"/>
      <c r="J22" s="2"/>
      <c r="K22" s="2"/>
      <c r="L22" s="6"/>
      <c r="M22" s="6"/>
    </row>
    <row r="23" spans="1:13" x14ac:dyDescent="0.25">
      <c r="A23" s="2">
        <v>1000000</v>
      </c>
      <c r="B23" s="2">
        <f>B18+(A23-$A$18)*(1+Lønnsinntekt!$T$26)</f>
        <v>1153500</v>
      </c>
      <c r="C23" s="2">
        <v>478332</v>
      </c>
      <c r="D23" s="2">
        <v>473287</v>
      </c>
      <c r="I23" s="2"/>
      <c r="J23" s="2"/>
      <c r="K23" s="2"/>
      <c r="L23" s="6"/>
      <c r="M23" s="6"/>
    </row>
    <row r="24" spans="1:13" x14ac:dyDescent="0.25">
      <c r="A24" s="2">
        <v>2000000</v>
      </c>
      <c r="B24" s="2">
        <f>B18+(A24-$A$18)*(1+Lønnsinntekt!$T$26)</f>
        <v>2344500</v>
      </c>
      <c r="C24" s="2">
        <v>1138332</v>
      </c>
      <c r="D24" s="2">
        <v>1086890</v>
      </c>
      <c r="I24" s="2"/>
      <c r="J24" s="2"/>
      <c r="K24" s="2"/>
      <c r="L24" s="6"/>
      <c r="M24" s="6"/>
    </row>
    <row r="25" spans="1:13" x14ac:dyDescent="0.25">
      <c r="A25" s="2">
        <v>5000000</v>
      </c>
      <c r="B25" s="2">
        <f>B18+(A25-$A$18)*(1+Lønnsinntekt!$T$26)</f>
        <v>5917500</v>
      </c>
      <c r="C25" s="2">
        <v>3133332</v>
      </c>
      <c r="D25" s="2">
        <v>2927700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o xmlns="e3f87b39-762e-410c-989d-a6e4082a9a1c">2023-03-10T14:37:59+00:00</Dato>
    <lcf76f155ced4ddcb4097134ff3c332f xmlns="e3f87b39-762e-410c-989d-a6e4082a9a1c">
      <Terms xmlns="http://schemas.microsoft.com/office/infopath/2007/PartnerControls"/>
    </lcf76f155ced4ddcb4097134ff3c332f>
    <TaxCatchAll xmlns="5042e93d-9b3e-4009-93bb-a04d34aab9a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188034474CF5E4885265FCF1270F314" ma:contentTypeVersion="19" ma:contentTypeDescription="Opprett et nytt dokument." ma:contentTypeScope="" ma:versionID="9134d33df83458bdda279e83795270e3">
  <xsd:schema xmlns:xsd="http://www.w3.org/2001/XMLSchema" xmlns:xs="http://www.w3.org/2001/XMLSchema" xmlns:p="http://schemas.microsoft.com/office/2006/metadata/properties" xmlns:ns2="5042e93d-9b3e-4009-93bb-a04d34aab9a1" xmlns:ns3="e3f87b39-762e-410c-989d-a6e4082a9a1c" targetNamespace="http://schemas.microsoft.com/office/2006/metadata/properties" ma:root="true" ma:fieldsID="41e0554f04eee897b10f277707af626a" ns2:_="" ns3:_="">
    <xsd:import namespace="5042e93d-9b3e-4009-93bb-a04d34aab9a1"/>
    <xsd:import namespace="e3f87b39-762e-410c-989d-a6e4082a9a1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Dato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42e93d-9b3e-4009-93bb-a04d34aab9a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e40dd14-be1f-46dc-8504-4150ffa0f0ab}" ma:internalName="TaxCatchAll" ma:showField="CatchAllData" ma:web="5042e93d-9b3e-4009-93bb-a04d34aab9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f87b39-762e-410c-989d-a6e4082a9a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Dato" ma:index="20" nillable="true" ma:displayName="Dato" ma:default="[today]" ma:format="DateTime" ma:internalName="Dato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1d941ce4-085e-436e-8a82-4200efdfc6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16ADAF-E242-4052-9B24-D9D185C1E151}">
  <ds:schemaRefs>
    <ds:schemaRef ds:uri="http://schemas.microsoft.com/office/2006/metadata/properties"/>
    <ds:schemaRef ds:uri="http://schemas.microsoft.com/office/infopath/2007/PartnerControls"/>
    <ds:schemaRef ds:uri="e3f87b39-762e-410c-989d-a6e4082a9a1c"/>
    <ds:schemaRef ds:uri="5042e93d-9b3e-4009-93bb-a04d34aab9a1"/>
  </ds:schemaRefs>
</ds:datastoreItem>
</file>

<file path=customXml/itemProps2.xml><?xml version="1.0" encoding="utf-8"?>
<ds:datastoreItem xmlns:ds="http://schemas.openxmlformats.org/officeDocument/2006/customXml" ds:itemID="{CD6761DF-909F-4753-8C6F-5FC4AAD106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2B1099-5C68-41A1-98BA-EFAA0BDDA3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42e93d-9b3e-4009-93bb-a04d34aab9a1"/>
    <ds:schemaRef ds:uri="e3f87b39-762e-410c-989d-a6e4082a9a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Lønnsinntekt</vt:lpstr>
      <vt:lpstr>Innslagspunkter</vt:lpstr>
      <vt:lpstr>Diagram marginalskatt</vt:lpstr>
      <vt:lpstr>Diagram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Svein Austheim</dc:creator>
  <cp:lastModifiedBy>Svein Austheim</cp:lastModifiedBy>
  <dcterms:created xsi:type="dcterms:W3CDTF">2023-03-02T08:44:18Z</dcterms:created>
  <dcterms:modified xsi:type="dcterms:W3CDTF">2024-02-29T12:44:31Z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0x010100F188034474CF5E4885265FCF1270F314</vt:lpwstr>
  </property>
  <property fmtid="{D5CDD505-2E9C-101B-9397-08002B2CF9AE}" pid="3" name="MediaServiceImageTags">
    <vt:lpwstr/>
  </property>
</Properties>
</file>