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nskapnorge.sharepoint.com/sites/Filserver/Delte dokumenter/Statistikk og analyse/Øvrige undersøkelser/Skatt vs utbytte/2026/"/>
    </mc:Choice>
  </mc:AlternateContent>
  <xr:revisionPtr revIDLastSave="0" documentId="8_{EF1BA342-A7DC-42F1-9866-83CAD0A31BF4}" xr6:coauthVersionLast="47" xr6:coauthVersionMax="47" xr10:uidLastSave="{00000000-0000-0000-0000-000000000000}"/>
  <workbookProtection workbookAlgorithmName="SHA-512" workbookHashValue="nFIl/61LFDn0+LsuiVygRdfCRLMbLAE7mf0ZkplaOVa81bDumZjxwnS38sh2VUnxmgyp0pLT6Svz3gSm2tjE9A==" workbookSaltValue="MmMNyPgOC09pPCwIdrdUBQ==" workbookSpinCount="100000" lockStructure="1"/>
  <bookViews>
    <workbookView xWindow="62520" yWindow="-120" windowWidth="29040" windowHeight="17520" xr2:uid="{CDEC7353-A4D9-4746-8470-7573B9DEF33D}"/>
  </bookViews>
  <sheets>
    <sheet name="Marginalskatt diagram" sheetId="7" r:id="rId1"/>
    <sheet name="AGA soner" sheetId="8" state="hidden" r:id="rId2"/>
    <sheet name="Lønn eller utbytte" sheetId="1" r:id="rId3"/>
    <sheet name="Lønn eller utbytte - skjerming" sheetId="6" state="hidden" r:id="rId4"/>
    <sheet name="Skattefritt utbytte" sheetId="9" r:id="rId5"/>
    <sheet name="Diagram marginalskatt" sheetId="3" state="hidden" r:id="rId6"/>
    <sheet name="Kopi" sheetId="4" state="hidden" r:id="rId7"/>
    <sheet name="Kopi til gjenstående" sheetId="5" state="hidden" r:id="rId8"/>
    <sheet name="Kopi til gjenstående (2)" sheetId="10" state="hidden" r:id="rId9"/>
    <sheet name="Kopi til gjenstående (3)" sheetId="12" state="hidden" r:id="rId10"/>
  </sheets>
  <definedNames>
    <definedName name="solver_adj" localSheetId="6" hidden="1">Kopi!$D$11:$D$12</definedName>
    <definedName name="solver_adj" localSheetId="7" hidden="1">'Kopi til gjenstående'!$D$11:$D$12</definedName>
    <definedName name="solver_adj" localSheetId="8" hidden="1">'Kopi til gjenstående (2)'!$D$11:$D$12</definedName>
    <definedName name="solver_adj" localSheetId="9" hidden="1">'Kopi til gjenstående (3)'!$D$11:$D$12</definedName>
    <definedName name="solver_adj" localSheetId="2" hidden="1">'Lønn eller utbytte'!$G$21:$G$23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cvg" localSheetId="2" hidden="1">0.0001</definedName>
    <definedName name="solver_drv" localSheetId="6" hidden="1">2</definedName>
    <definedName name="solver_drv" localSheetId="7" hidden="1">2</definedName>
    <definedName name="solver_drv" localSheetId="8" hidden="1">2</definedName>
    <definedName name="solver_drv" localSheetId="9" hidden="1">2</definedName>
    <definedName name="solver_drv" localSheetId="2" hidden="1">2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ng" localSheetId="2" hidden="1">1</definedName>
    <definedName name="solver_est" localSheetId="6" hidden="1">1</definedName>
    <definedName name="solver_est" localSheetId="7" hidden="1">1</definedName>
    <definedName name="solver_est" localSheetId="8" hidden="1">1</definedName>
    <definedName name="solver_est" localSheetId="9" hidden="1">1</definedName>
    <definedName name="solver_est" localSheetId="2" hidden="1">1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itr" localSheetId="2" hidden="1">2147483647</definedName>
    <definedName name="solver_lhs1" localSheetId="6" hidden="1">Kopi!$D$11</definedName>
    <definedName name="solver_lhs1" localSheetId="7" hidden="1">'Kopi til gjenstående'!$D$11</definedName>
    <definedName name="solver_lhs1" localSheetId="8" hidden="1">'Kopi til gjenstående (2)'!$D$11</definedName>
    <definedName name="solver_lhs1" localSheetId="9" hidden="1">'Kopi til gjenstående (3)'!$D$11</definedName>
    <definedName name="solver_lhs1" localSheetId="2" hidden="1">'Lønn eller utbytte'!$G$21</definedName>
    <definedName name="solver_lhs2" localSheetId="6" hidden="1">Kopi!$D$11</definedName>
    <definedName name="solver_lhs2" localSheetId="7" hidden="1">'Kopi til gjenstående'!$D$11</definedName>
    <definedName name="solver_lhs2" localSheetId="8" hidden="1">'Kopi til gjenstående (2)'!$D$11</definedName>
    <definedName name="solver_lhs2" localSheetId="9" hidden="1">'Kopi til gjenstående (3)'!$D$11</definedName>
    <definedName name="solver_lhs2" localSheetId="2" hidden="1">'Lønn eller utbytte'!$G$21</definedName>
    <definedName name="solver_lhs3" localSheetId="6" hidden="1">Kopi!#REF!</definedName>
    <definedName name="solver_lhs3" localSheetId="7" hidden="1">'Kopi til gjenstående'!#REF!</definedName>
    <definedName name="solver_lhs3" localSheetId="8" hidden="1">'Kopi til gjenstående (2)'!#REF!</definedName>
    <definedName name="solver_lhs3" localSheetId="9" hidden="1">'Kopi til gjenstående (3)'!#REF!</definedName>
    <definedName name="solver_lhs3" localSheetId="2" hidden="1">'Lønn eller utbytte'!#REF!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ip" localSheetId="2" hidden="1">2147483647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ni" localSheetId="2" hidden="1">30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rt" localSheetId="2" hidden="1">0.075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msl" localSheetId="2" hidden="1">2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eg" localSheetId="2" hidden="1">1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od" localSheetId="2" hidden="1">2147483647</definedName>
    <definedName name="solver_num" localSheetId="6" hidden="1">3</definedName>
    <definedName name="solver_num" localSheetId="7" hidden="1">3</definedName>
    <definedName name="solver_num" localSheetId="8" hidden="1">3</definedName>
    <definedName name="solver_num" localSheetId="9" hidden="1">3</definedName>
    <definedName name="solver_num" localSheetId="2" hidden="1">3</definedName>
    <definedName name="solver_nwt" localSheetId="6" hidden="1">1</definedName>
    <definedName name="solver_nwt" localSheetId="7" hidden="1">1</definedName>
    <definedName name="solver_nwt" localSheetId="8" hidden="1">1</definedName>
    <definedName name="solver_nwt" localSheetId="9" hidden="1">1</definedName>
    <definedName name="solver_nwt" localSheetId="2" hidden="1">1</definedName>
    <definedName name="solver_opt" localSheetId="6" hidden="1">Kopi!#REF!</definedName>
    <definedName name="solver_opt" localSheetId="7" hidden="1">'Kopi til gjenstående'!#REF!</definedName>
    <definedName name="solver_opt" localSheetId="8" hidden="1">'Kopi til gjenstående (2)'!#REF!</definedName>
    <definedName name="solver_opt" localSheetId="9" hidden="1">'Kopi til gjenstående (3)'!#REF!</definedName>
    <definedName name="solver_opt" localSheetId="2" hidden="1">'Lønn eller utbytte'!$O$14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pre" localSheetId="2" hidden="1">0.000001</definedName>
    <definedName name="solver_rbv" localSheetId="6" hidden="1">2</definedName>
    <definedName name="solver_rbv" localSheetId="7" hidden="1">2</definedName>
    <definedName name="solver_rbv" localSheetId="8" hidden="1">2</definedName>
    <definedName name="solver_rbv" localSheetId="9" hidden="1">2</definedName>
    <definedName name="solver_rbv" localSheetId="2" hidden="1">2</definedName>
    <definedName name="solver_rel1" localSheetId="6" hidden="1">4</definedName>
    <definedName name="solver_rel1" localSheetId="7" hidden="1">4</definedName>
    <definedName name="solver_rel1" localSheetId="8" hidden="1">4</definedName>
    <definedName name="solver_rel1" localSheetId="9" hidden="1">4</definedName>
    <definedName name="solver_rel1" localSheetId="2" hidden="1">4</definedName>
    <definedName name="solver_rel2" localSheetId="6" hidden="1">3</definedName>
    <definedName name="solver_rel2" localSheetId="7" hidden="1">3</definedName>
    <definedName name="solver_rel2" localSheetId="8" hidden="1">3</definedName>
    <definedName name="solver_rel2" localSheetId="9" hidden="1">3</definedName>
    <definedName name="solver_rel2" localSheetId="2" hidden="1">3</definedName>
    <definedName name="solver_rel3" localSheetId="6" hidden="1">2</definedName>
    <definedName name="solver_rel3" localSheetId="7" hidden="1">2</definedName>
    <definedName name="solver_rel3" localSheetId="8" hidden="1">2</definedName>
    <definedName name="solver_rel3" localSheetId="9" hidden="1">2</definedName>
    <definedName name="solver_rel3" localSheetId="2" hidden="1">2</definedName>
    <definedName name="solver_rhs1" localSheetId="6" hidden="1">"heltall"</definedName>
    <definedName name="solver_rhs1" localSheetId="7" hidden="1">"heltall"</definedName>
    <definedName name="solver_rhs1" localSheetId="8" hidden="1">"heltall"</definedName>
    <definedName name="solver_rhs1" localSheetId="9" hidden="1">"heltall"</definedName>
    <definedName name="solver_rhs1" localSheetId="2" hidden="1">"heltall"</definedName>
    <definedName name="solver_rhs2" localSheetId="6" hidden="1">1</definedName>
    <definedName name="solver_rhs2" localSheetId="7" hidden="1">1</definedName>
    <definedName name="solver_rhs2" localSheetId="8" hidden="1">1</definedName>
    <definedName name="solver_rhs2" localSheetId="9" hidden="1">1</definedName>
    <definedName name="solver_rhs2" localSheetId="2" hidden="1">1</definedName>
    <definedName name="solver_rhs3" localSheetId="6" hidden="1">Kopi!$D$14</definedName>
    <definedName name="solver_rhs3" localSheetId="7" hidden="1">'Kopi til gjenstående'!$D$14</definedName>
    <definedName name="solver_rhs3" localSheetId="8" hidden="1">'Kopi til gjenstående (2)'!$D$14</definedName>
    <definedName name="solver_rhs3" localSheetId="9" hidden="1">'Kopi til gjenstående (3)'!$D$14</definedName>
    <definedName name="solver_rhs3" localSheetId="2" hidden="1">'Lønn eller utbytte'!$G$25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lx" localSheetId="2" hidden="1">2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rsd" localSheetId="2" hidden="1">0</definedName>
    <definedName name="solver_scl" localSheetId="6" hidden="1">2</definedName>
    <definedName name="solver_scl" localSheetId="7" hidden="1">2</definedName>
    <definedName name="solver_scl" localSheetId="8" hidden="1">2</definedName>
    <definedName name="solver_scl" localSheetId="9" hidden="1">2</definedName>
    <definedName name="solver_scl" localSheetId="2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ho" localSheetId="2" hidden="1">2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ssz" localSheetId="2" hidden="1">100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im" localSheetId="2" hidden="1">2147483647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ol" localSheetId="2" hidden="1">0.01</definedName>
    <definedName name="solver_typ" localSheetId="6" hidden="1">1</definedName>
    <definedName name="solver_typ" localSheetId="7" hidden="1">1</definedName>
    <definedName name="solver_typ" localSheetId="8" hidden="1">1</definedName>
    <definedName name="solver_typ" localSheetId="9" hidden="1">1</definedName>
    <definedName name="solver_typ" localSheetId="2" hidden="1">1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al" localSheetId="2" hidden="1">0</definedName>
    <definedName name="solver_ver" localSheetId="6" hidden="1">3</definedName>
    <definedName name="solver_ver" localSheetId="7" hidden="1">3</definedName>
    <definedName name="solver_ver" localSheetId="8" hidden="1">3</definedName>
    <definedName name="solver_ver" localSheetId="9" hidden="1">3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8" i="12" l="1" a="1"/>
  <c r="I38" i="12" s="1"/>
  <c r="I38" i="10" a="1"/>
  <c r="I38" i="10" s="1"/>
  <c r="D11" i="4"/>
  <c r="D41" i="9"/>
  <c r="C25" i="9"/>
  <c r="H19" i="9"/>
  <c r="H18" i="9"/>
  <c r="A8" i="3"/>
  <c r="A9" i="3"/>
  <c r="H17" i="9" l="1"/>
  <c r="AA29" i="1" a="1"/>
  <c r="AA29" i="1" s="1"/>
  <c r="F18" i="1"/>
  <c r="H18" i="6"/>
  <c r="C8" i="3" l="1"/>
  <c r="C18" i="3"/>
  <c r="C9" i="3"/>
  <c r="D9" i="3" s="1"/>
  <c r="B9" i="7"/>
  <c r="F42" i="7"/>
  <c r="E42" i="7"/>
  <c r="D42" i="7"/>
  <c r="B42" i="7"/>
  <c r="C42" i="7"/>
  <c r="I16" i="7" l="1" a="1"/>
  <c r="I16" i="7" s="1"/>
  <c r="C25" i="6"/>
  <c r="D41" i="6"/>
  <c r="D44" i="6"/>
  <c r="H19" i="6" l="1"/>
  <c r="H44" i="6"/>
  <c r="I38" i="5" a="1"/>
  <c r="I38" i="5" s="1"/>
  <c r="I38" i="4" a="1"/>
  <c r="I38" i="4" s="1"/>
  <c r="H17" i="6" l="1"/>
  <c r="D45" i="6"/>
  <c r="F32" i="6"/>
  <c r="F33" i="6" s="1"/>
  <c r="A5" i="3" l="1"/>
  <c r="A6" i="3"/>
  <c r="A7" i="3"/>
  <c r="A10" i="3"/>
  <c r="A11" i="3"/>
  <c r="A12" i="3"/>
  <c r="A13" i="3"/>
  <c r="A14" i="3"/>
  <c r="A15" i="3"/>
  <c r="A16" i="3"/>
  <c r="A17" i="3"/>
  <c r="A18" i="3"/>
  <c r="A19" i="3"/>
  <c r="A20" i="3"/>
  <c r="A4" i="3"/>
  <c r="C14" i="3" l="1"/>
  <c r="C16" i="3"/>
  <c r="C17" i="3"/>
  <c r="C19" i="3"/>
  <c r="C20" i="3"/>
  <c r="C15" i="3"/>
  <c r="C12" i="3"/>
  <c r="C10" i="3"/>
  <c r="C11" i="3"/>
  <c r="C6" i="3"/>
  <c r="D6" i="3" s="1"/>
  <c r="C13" i="3" l="1"/>
  <c r="C7" i="3"/>
  <c r="D7" i="3" s="1"/>
  <c r="D8" i="3" s="1"/>
  <c r="C5" i="3"/>
  <c r="D5" i="3" s="1"/>
  <c r="C4" i="3"/>
  <c r="H7" i="4" l="1"/>
  <c r="H9" i="4"/>
  <c r="L9" i="4" s="1"/>
  <c r="H11" i="4"/>
  <c r="L11" i="4" s="1"/>
  <c r="N12" i="4"/>
  <c r="M12" i="4" s="1"/>
  <c r="H12" i="4"/>
  <c r="L12" i="4" s="1"/>
  <c r="H10" i="4"/>
  <c r="L10" i="4" s="1"/>
  <c r="D21" i="4"/>
  <c r="N11" i="4" s="1"/>
  <c r="M11" i="4" s="1"/>
  <c r="D30" i="4"/>
  <c r="N10" i="4"/>
  <c r="M10" i="4" s="1"/>
  <c r="N7" i="4"/>
  <c r="M7" i="4" s="1"/>
  <c r="D23" i="4"/>
  <c r="D38" i="4"/>
  <c r="D19" i="9" s="1"/>
  <c r="D17" i="9" s="1"/>
  <c r="L7" i="4" l="1"/>
  <c r="D19" i="6"/>
  <c r="J12" i="4"/>
  <c r="K12" i="4" s="1"/>
  <c r="I10" i="4"/>
  <c r="I9" i="4"/>
  <c r="I12" i="4"/>
  <c r="C24" i="9"/>
  <c r="J11" i="4"/>
  <c r="K11" i="4" s="1"/>
  <c r="H8" i="4"/>
  <c r="J7" i="4"/>
  <c r="D17" i="6"/>
  <c r="C24" i="6" s="1"/>
  <c r="D31" i="4"/>
  <c r="I11" i="4"/>
  <c r="D33" i="4"/>
  <c r="D32" i="4"/>
  <c r="D37" i="4"/>
  <c r="N9" i="4"/>
  <c r="M9" i="4" s="1"/>
  <c r="J9" i="4"/>
  <c r="K9" i="4" s="1"/>
  <c r="J10" i="4"/>
  <c r="K10" i="4" s="1"/>
  <c r="D22" i="4"/>
  <c r="N8" i="4" s="1"/>
  <c r="M8" i="4" s="1"/>
  <c r="D29" i="4"/>
  <c r="L8" i="4" l="1"/>
  <c r="I8" i="4"/>
  <c r="J8" i="4"/>
  <c r="K8" i="4" s="1"/>
  <c r="D34" i="4"/>
  <c r="D24" i="4"/>
  <c r="D26" i="4" s="1"/>
  <c r="D36" i="4" s="1"/>
  <c r="D39" i="4" s="1"/>
  <c r="D20" i="9" l="1"/>
  <c r="D20" i="6"/>
  <c r="K10" i="1" l="1"/>
  <c r="K19" i="1" s="1"/>
  <c r="K27" i="1"/>
  <c r="C20" i="1" s="1"/>
  <c r="R10" i="1"/>
  <c r="R11" i="1" s="1"/>
  <c r="R12" i="1" s="1"/>
  <c r="C19" i="1"/>
  <c r="K12" i="1"/>
  <c r="C22" i="1" l="1"/>
  <c r="C27" i="1" s="1"/>
  <c r="X12" i="1"/>
  <c r="T10" i="1"/>
  <c r="K18" i="1"/>
  <c r="K20" i="1"/>
  <c r="T12" i="1"/>
  <c r="R13" i="1"/>
  <c r="S11" i="1"/>
  <c r="S12" i="1" s="1"/>
  <c r="T11" i="1"/>
  <c r="G25" i="1"/>
  <c r="X11" i="1"/>
  <c r="K26" i="1"/>
  <c r="K11" i="1"/>
  <c r="X14" i="1" s="1"/>
  <c r="K22" i="1"/>
  <c r="K21" i="1"/>
  <c r="K23" i="1" s="1"/>
  <c r="U11" i="1" l="1"/>
  <c r="X13" i="1"/>
  <c r="W13" i="1" s="1"/>
  <c r="V13" i="1" s="1"/>
  <c r="X15" i="1"/>
  <c r="W15" i="1" s="1"/>
  <c r="W12" i="1"/>
  <c r="V12" i="1" s="1"/>
  <c r="T13" i="1"/>
  <c r="R14" i="1"/>
  <c r="R15" i="1" s="1"/>
  <c r="S13" i="1"/>
  <c r="U12" i="1"/>
  <c r="K13" i="1"/>
  <c r="K15" i="1" s="1"/>
  <c r="G16" i="1"/>
  <c r="K32" i="1" s="1"/>
  <c r="G15" i="1"/>
  <c r="W14" i="1" l="1"/>
  <c r="V15" i="1"/>
  <c r="T15" i="1"/>
  <c r="S14" i="1"/>
  <c r="S15" i="1" s="1"/>
  <c r="T14" i="1"/>
  <c r="V14" i="1"/>
  <c r="D14" i="3"/>
  <c r="D13" i="3"/>
  <c r="D16" i="3"/>
  <c r="D15" i="3"/>
  <c r="U13" i="1"/>
  <c r="K33" i="1"/>
  <c r="K34" i="1" s="1"/>
  <c r="O12" i="1" s="1"/>
  <c r="K25" i="1"/>
  <c r="D19" i="3" l="1"/>
  <c r="D20" i="3"/>
  <c r="D18" i="3"/>
  <c r="D17" i="3"/>
  <c r="U14" i="1"/>
  <c r="U15" i="1" s="1"/>
  <c r="K28" i="1"/>
  <c r="O22" i="1"/>
  <c r="K35" i="1"/>
  <c r="O21" i="1" s="1"/>
  <c r="O13" i="1"/>
  <c r="O23" i="1" l="1"/>
  <c r="O14" i="1"/>
  <c r="X10" i="1"/>
  <c r="D8" i="6" l="1"/>
  <c r="W10" i="1"/>
  <c r="V10" i="1"/>
  <c r="D10" i="3" s="1"/>
  <c r="W11" i="1"/>
  <c r="V11" i="1" s="1"/>
  <c r="L17" i="6"/>
  <c r="D42" i="6"/>
  <c r="L18" i="6"/>
  <c r="D22" i="6"/>
  <c r="D8" i="9"/>
  <c r="D12" i="3" l="1"/>
  <c r="D11" i="3"/>
  <c r="D22" i="9"/>
  <c r="D42" i="9"/>
  <c r="D11" i="12"/>
  <c r="L21" i="6"/>
  <c r="L20" i="6" s="1"/>
  <c r="D47" i="6"/>
  <c r="D49" i="6" s="1"/>
  <c r="G32" i="6" l="1"/>
  <c r="G33" i="6" s="1"/>
  <c r="D32" i="6"/>
  <c r="D33" i="6" s="1"/>
  <c r="L22" i="6"/>
  <c r="D23" i="12"/>
  <c r="D38" i="12"/>
  <c r="D21" i="12"/>
  <c r="N9" i="12" s="1"/>
  <c r="H7" i="12"/>
  <c r="D44" i="9"/>
  <c r="N10" i="12" l="1"/>
  <c r="M10" i="12" s="1"/>
  <c r="N8" i="12"/>
  <c r="M8" i="12" s="1"/>
  <c r="D32" i="9"/>
  <c r="D33" i="9" s="1"/>
  <c r="D11" i="5"/>
  <c r="J7" i="12"/>
  <c r="D29" i="12"/>
  <c r="D31" i="12"/>
  <c r="D37" i="12"/>
  <c r="D30" i="12"/>
  <c r="D33" i="12"/>
  <c r="D22" i="12"/>
  <c r="D32" i="12"/>
  <c r="M9" i="12"/>
  <c r="N11" i="12"/>
  <c r="M11" i="12" s="1"/>
  <c r="H8" i="12"/>
  <c r="D24" i="12" l="1"/>
  <c r="D26" i="12" s="1"/>
  <c r="N12" i="12"/>
  <c r="M12" i="12" s="1"/>
  <c r="J8" i="12"/>
  <c r="K8" i="12" s="1"/>
  <c r="L8" i="12"/>
  <c r="I8" i="12"/>
  <c r="H9" i="12"/>
  <c r="D34" i="12"/>
  <c r="D21" i="5"/>
  <c r="N11" i="5" s="1"/>
  <c r="M11" i="5" s="1"/>
  <c r="H9" i="5"/>
  <c r="D38" i="5"/>
  <c r="H8" i="5"/>
  <c r="N8" i="5"/>
  <c r="M8" i="5" s="1"/>
  <c r="H10" i="5"/>
  <c r="H11" i="5"/>
  <c r="N10" i="5"/>
  <c r="M10" i="5" s="1"/>
  <c r="D23" i="5"/>
  <c r="N12" i="5"/>
  <c r="M12" i="5" s="1"/>
  <c r="H7" i="5"/>
  <c r="H12" i="5"/>
  <c r="D36" i="12" l="1"/>
  <c r="D39" i="12" s="1"/>
  <c r="N7" i="12" s="1"/>
  <c r="N9" i="5"/>
  <c r="M9" i="5" s="1"/>
  <c r="J12" i="5"/>
  <c r="K12" i="5" s="1"/>
  <c r="L12" i="5"/>
  <c r="I12" i="5"/>
  <c r="J7" i="5"/>
  <c r="I11" i="5"/>
  <c r="J11" i="5"/>
  <c r="K11" i="5" s="1"/>
  <c r="L11" i="5"/>
  <c r="I10" i="5"/>
  <c r="J10" i="5"/>
  <c r="K10" i="5" s="1"/>
  <c r="L10" i="5"/>
  <c r="I8" i="5"/>
  <c r="J8" i="5"/>
  <c r="K8" i="5" s="1"/>
  <c r="L8" i="5"/>
  <c r="D51" i="6"/>
  <c r="D46" i="9"/>
  <c r="D48" i="9" s="1"/>
  <c r="I9" i="5"/>
  <c r="L9" i="5"/>
  <c r="J9" i="5"/>
  <c r="K9" i="5" s="1"/>
  <c r="D31" i="5"/>
  <c r="D33" i="5"/>
  <c r="D29" i="5"/>
  <c r="D30" i="5"/>
  <c r="D32" i="5"/>
  <c r="D37" i="5"/>
  <c r="D22" i="5"/>
  <c r="L9" i="12"/>
  <c r="J9" i="12"/>
  <c r="K9" i="12" s="1"/>
  <c r="I9" i="12"/>
  <c r="H10" i="12"/>
  <c r="M7" i="12" l="1"/>
  <c r="L7" i="12"/>
  <c r="D41" i="12"/>
  <c r="D52" i="9"/>
  <c r="D53" i="6"/>
  <c r="I10" i="12"/>
  <c r="L10" i="12"/>
  <c r="J10" i="12"/>
  <c r="K10" i="12" s="1"/>
  <c r="H11" i="12"/>
  <c r="H12" i="12" s="1"/>
  <c r="D24" i="5"/>
  <c r="D26" i="5" s="1"/>
  <c r="D34" i="5"/>
  <c r="D51" i="9" l="1"/>
  <c r="D54" i="9" s="1"/>
  <c r="D50" i="9"/>
  <c r="J12" i="12"/>
  <c r="L12" i="12"/>
  <c r="D36" i="5"/>
  <c r="I11" i="12"/>
  <c r="I12" i="12" s="1"/>
  <c r="L11" i="12"/>
  <c r="J11" i="12"/>
  <c r="K11" i="12" s="1"/>
  <c r="D55" i="6"/>
  <c r="H54" i="6" s="1"/>
  <c r="H44" i="9"/>
  <c r="F32" i="9"/>
  <c r="F33" i="9" s="1"/>
  <c r="K12" i="12" l="1"/>
  <c r="D56" i="6"/>
  <c r="D39" i="5"/>
  <c r="N7" i="5" s="1"/>
  <c r="D45" i="9"/>
  <c r="D50" i="6"/>
  <c r="H43" i="6" l="1"/>
  <c r="M7" i="5"/>
  <c r="L7" i="5"/>
  <c r="D57" i="6"/>
  <c r="H53" i="6" s="1"/>
  <c r="D56" i="9"/>
  <c r="D58" i="6" l="1"/>
  <c r="H45" i="6" s="1"/>
  <c r="H46" i="6" s="1"/>
  <c r="H55" i="6"/>
  <c r="I53" i="6"/>
  <c r="D11" i="10"/>
  <c r="G32" i="9"/>
  <c r="G33" i="9" s="1"/>
  <c r="H32" i="6" l="1"/>
  <c r="H33" i="6" s="1"/>
  <c r="I44" i="6"/>
  <c r="I46" i="6" s="1"/>
  <c r="D38" i="10"/>
  <c r="D58" i="9" s="1"/>
  <c r="H12" i="10"/>
  <c r="N12" i="10"/>
  <c r="M12" i="10" s="1"/>
  <c r="D23" i="10"/>
  <c r="H7" i="10"/>
  <c r="D21" i="10"/>
  <c r="D43" i="10" s="1"/>
  <c r="D44" i="10" s="1"/>
  <c r="I55" i="6"/>
  <c r="N8" i="10" l="1"/>
  <c r="N9" i="10"/>
  <c r="M9" i="10" s="1"/>
  <c r="D45" i="10"/>
  <c r="D46" i="10" s="1"/>
  <c r="D47" i="10" s="1"/>
  <c r="D31" i="10"/>
  <c r="D37" i="10"/>
  <c r="D33" i="10"/>
  <c r="D30" i="10"/>
  <c r="D29" i="10"/>
  <c r="D32" i="10"/>
  <c r="D22" i="10"/>
  <c r="D24" i="10" s="1"/>
  <c r="D26" i="10" s="1"/>
  <c r="J7" i="10"/>
  <c r="N11" i="10"/>
  <c r="H8" i="10"/>
  <c r="J12" i="10"/>
  <c r="K12" i="10" s="1"/>
  <c r="I12" i="10"/>
  <c r="L12" i="10"/>
  <c r="D60" i="9"/>
  <c r="N10" i="10" l="1"/>
  <c r="M10" i="10" s="1"/>
  <c r="D62" i="9"/>
  <c r="H55" i="9" s="1"/>
  <c r="J8" i="10"/>
  <c r="K8" i="10" s="1"/>
  <c r="I8" i="10"/>
  <c r="H9" i="10"/>
  <c r="D34" i="10"/>
  <c r="D36" i="10" s="1"/>
  <c r="M11" i="10" l="1"/>
  <c r="D39" i="10"/>
  <c r="N7" i="10" s="1"/>
  <c r="D42" i="10"/>
  <c r="D48" i="10" s="1"/>
  <c r="D57" i="9"/>
  <c r="H43" i="9" s="1"/>
  <c r="J9" i="10"/>
  <c r="K9" i="10" s="1"/>
  <c r="I9" i="10"/>
  <c r="L9" i="10"/>
  <c r="H10" i="10"/>
  <c r="D63" i="9"/>
  <c r="M7" i="10" l="1"/>
  <c r="L7" i="10"/>
  <c r="M8" i="10"/>
  <c r="L8" i="10" s="1"/>
  <c r="D64" i="9"/>
  <c r="H54" i="9" s="1"/>
  <c r="I10" i="10"/>
  <c r="J10" i="10"/>
  <c r="K10" i="10" s="1"/>
  <c r="L10" i="10"/>
  <c r="H11" i="10"/>
  <c r="D65" i="9" l="1"/>
  <c r="H45" i="9" s="1"/>
  <c r="I44" i="9" s="1"/>
  <c r="I46" i="9"/>
  <c r="J11" i="10"/>
  <c r="K11" i="10" s="1"/>
  <c r="I11" i="10"/>
  <c r="L11" i="10"/>
  <c r="H56" i="9"/>
  <c r="I54" i="9"/>
  <c r="H32" i="9" l="1"/>
  <c r="H33" i="9" s="1"/>
  <c r="I56" i="9"/>
  <c r="H46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<sst xmlns="http://schemas.openxmlformats.org/spreadsheetml/2006/main" count="1310" uniqueCount="586">
  <si>
    <t>Lønnsnivå</t>
  </si>
  <si>
    <t>Minstefradrag</t>
  </si>
  <si>
    <t>Sats</t>
  </si>
  <si>
    <t>Maksbeløp</t>
  </si>
  <si>
    <t>Beløp</t>
  </si>
  <si>
    <t>Trinn 1</t>
  </si>
  <si>
    <t>Innslagspunkt</t>
  </si>
  <si>
    <t>Alminnelig inntekt</t>
  </si>
  <si>
    <t>Trinn 2</t>
  </si>
  <si>
    <t>Trinn 3</t>
  </si>
  <si>
    <t>Trinn 4</t>
  </si>
  <si>
    <t>Trinn 5</t>
  </si>
  <si>
    <t>Trygdeavgift</t>
  </si>
  <si>
    <t xml:space="preserve">Sats </t>
  </si>
  <si>
    <t>Minstebeløp</t>
  </si>
  <si>
    <t>AGA trinn 1</t>
  </si>
  <si>
    <t>Personfradrag</t>
  </si>
  <si>
    <t>Selskapsskatt / utbytte</t>
  </si>
  <si>
    <t>Skattebegrensningsregel</t>
  </si>
  <si>
    <t>Utbytteskatt</t>
  </si>
  <si>
    <t>Lønn</t>
  </si>
  <si>
    <t>Årsresultat</t>
  </si>
  <si>
    <t>Lønn inkl. AGA</t>
  </si>
  <si>
    <t>Marginalskatt inkl. AGA</t>
  </si>
  <si>
    <t>Aggregert lønn</t>
  </si>
  <si>
    <t>Skatt/AGA</t>
  </si>
  <si>
    <t>Aggregert skatt og AGA</t>
  </si>
  <si>
    <t>RELEVANTE SATSER OG FRADRAG</t>
  </si>
  <si>
    <t>Marginalsatser</t>
  </si>
  <si>
    <t>Aggregert årsresultat</t>
  </si>
  <si>
    <t>Sone</t>
  </si>
  <si>
    <t>Soner AGA</t>
  </si>
  <si>
    <t>14,1% - Sone 1 og 1a</t>
  </si>
  <si>
    <t>10,6% - Sone 2 og 1a</t>
  </si>
  <si>
    <t xml:space="preserve"> 6,4% - Sone 3</t>
  </si>
  <si>
    <t xml:space="preserve"> 5,1% - Sone 4 og 4a</t>
  </si>
  <si>
    <t xml:space="preserve"> 7,9% - Sone 4a</t>
  </si>
  <si>
    <t xml:space="preserve">    0% - sone 5</t>
  </si>
  <si>
    <t>Diagram</t>
  </si>
  <si>
    <t>Driftsresultat</t>
  </si>
  <si>
    <t>Eierlønn</t>
  </si>
  <si>
    <t>Lønn til eier</t>
  </si>
  <si>
    <t>Årsresultat før skatt</t>
  </si>
  <si>
    <t>Selskapsskatt</t>
  </si>
  <si>
    <t>Utytteskatt</t>
  </si>
  <si>
    <t>Forenklet resultatregnskap</t>
  </si>
  <si>
    <t>Arbeidsgiveravgift</t>
  </si>
  <si>
    <t>Velg sone for AGA (fra dropdown):</t>
  </si>
  <si>
    <t>Angi lønn til eier</t>
  </si>
  <si>
    <t>Årsresultat i Eierbedriften AS</t>
  </si>
  <si>
    <t>Inntektsgrunnlag</t>
  </si>
  <si>
    <t>Skattegrunnlag</t>
  </si>
  <si>
    <t>Sum inntektsskatt</t>
  </si>
  <si>
    <t>Sum trinnskatt</t>
  </si>
  <si>
    <t>Trinnskatt</t>
  </si>
  <si>
    <t>Sum skatt, trygd og AGA</t>
  </si>
  <si>
    <t>Sum skatter og avgifter</t>
  </si>
  <si>
    <t>Tabell for marginalsatser på lønnsskatt og AGA</t>
  </si>
  <si>
    <t>Inntektsskatt inklusive trinnskatt</t>
  </si>
  <si>
    <t>Utbytte til utbetaling</t>
  </si>
  <si>
    <t>Sum selskapsskatt og utbytteskatt</t>
  </si>
  <si>
    <t>AGA på lønn til eier</t>
  </si>
  <si>
    <t>Skatt på eiers lønnsintekt</t>
  </si>
  <si>
    <t>Skatt på utbytte</t>
  </si>
  <si>
    <t>Skatteoptimalt uttak av lønn</t>
  </si>
  <si>
    <t>Til utbetaling for eier</t>
  </si>
  <si>
    <t xml:space="preserve">Utbytte </t>
  </si>
  <si>
    <t>Type godtgjørelse</t>
  </si>
  <si>
    <t>Skatteyter</t>
  </si>
  <si>
    <t>Skattebelastning for eier og bedrift</t>
  </si>
  <si>
    <t>Inntektsskatt og trygd</t>
  </si>
  <si>
    <t>Opprinnelig årsresultat før skatt</t>
  </si>
  <si>
    <t>AGA</t>
  </si>
  <si>
    <t>Gjenstående til ordinært utbytte</t>
  </si>
  <si>
    <t>Utbyttegrunnlag</t>
  </si>
  <si>
    <t>Skjermingsfradrag</t>
  </si>
  <si>
    <t>Lønn eller utbytte hvis eier har opptjent skjermingsfradrag</t>
  </si>
  <si>
    <t>Skjermingsfradrag / skattefritt utbytte</t>
  </si>
  <si>
    <t>Inntektsskatt og trygdeavgift</t>
  </si>
  <si>
    <t>Nødvendig årsresultat (før AGA)</t>
  </si>
  <si>
    <t>Disponibelt årsresultat etter første lønnsintervall</t>
  </si>
  <si>
    <t>2. Selskapsskatt før utdeling av skattefritt utbytte</t>
  </si>
  <si>
    <t>Selv om eier har opptjent et skattefritt utbytte må selskapet likevel</t>
  </si>
  <si>
    <t>Selskapsskatt på skattefritt utbytte</t>
  </si>
  <si>
    <t>Skattefritt utbytte</t>
  </si>
  <si>
    <t xml:space="preserve">betale selskapsskatt på 22 prosent før utbyttet kan utbetales. </t>
  </si>
  <si>
    <t>Med skjerming</t>
  </si>
  <si>
    <t>Utbetalt totalt</t>
  </si>
  <si>
    <t>Skatter totalt</t>
  </si>
  <si>
    <t>Nettolønn til eier</t>
  </si>
  <si>
    <t>Ordinært utbytte til utbetaling</t>
  </si>
  <si>
    <t>Skatteoptimal lønn etter AGA</t>
  </si>
  <si>
    <t>Differanse uten skjerming</t>
  </si>
  <si>
    <t>Gjenstående til utbetaling av lønn (etter AGA)</t>
  </si>
  <si>
    <t>Eierbedriften AS (eksempel)</t>
  </si>
  <si>
    <t>Det vil si terskelverdiene for skatteoptimalt lønnsuttak skal fortsatt følges.</t>
  </si>
  <si>
    <t>Disponering av årsresultat til lønn eller utbytte</t>
  </si>
  <si>
    <t>Total skattebelastning og til utbetaling</t>
  </si>
  <si>
    <t>Årsresultat før skatt til utbytte</t>
  </si>
  <si>
    <t>Relevante satser og fradrag</t>
  </si>
  <si>
    <t>Sentrale tabeller for beregning av skattebelastning</t>
  </si>
  <si>
    <t>Tabell for beregning av marginalskatt på eiers lønnsinntekt</t>
  </si>
  <si>
    <t>Skattetabeller (til informasjon)</t>
  </si>
  <si>
    <t>Lønn til eier (før utdeling av skattefritt utbytte)</t>
  </si>
  <si>
    <t>NB! Modellen forutsetter kjennskap til hva eier har opptjent i skjermingsfradrag (skattefritt utbytte).</t>
  </si>
  <si>
    <t>Kommunenavn</t>
  </si>
  <si>
    <t>Fylke</t>
  </si>
  <si>
    <t>Kommentar</t>
  </si>
  <si>
    <t>Kommunenr.</t>
  </si>
  <si>
    <t>Risør</t>
  </si>
  <si>
    <t>Agder</t>
  </si>
  <si>
    <t>Røysland er grensejustert over til Tvedestrand</t>
  </si>
  <si>
    <t>Averøy</t>
  </si>
  <si>
    <t>Grimstad</t>
  </si>
  <si>
    <t>Arendal</t>
  </si>
  <si>
    <t>Kristiansand</t>
  </si>
  <si>
    <t>Lindesnes</t>
  </si>
  <si>
    <t>Farsund</t>
  </si>
  <si>
    <t>Flekkefjord</t>
  </si>
  <si>
    <t>Gjerstad</t>
  </si>
  <si>
    <t>Vegårshei</t>
  </si>
  <si>
    <t>Tvedestrand</t>
  </si>
  <si>
    <t>Froland</t>
  </si>
  <si>
    <t>Lillesand</t>
  </si>
  <si>
    <t>Birkenes</t>
  </si>
  <si>
    <t>Åmli</t>
  </si>
  <si>
    <t>Iveland</t>
  </si>
  <si>
    <t>1a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</si>
  <si>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</si>
  <si>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</si>
  <si>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</si>
  <si>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</si>
  <si>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</si>
  <si>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</si>
  <si>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</si>
  <si>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</si>
  <si>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</si>
  <si>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</si>
  <si>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</si>
  <si>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</si>
  <si>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</si>
  <si>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</si>
  <si>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</si>
  <si>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</si>
  <si>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</si>
  <si>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</si>
  <si>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</si>
  <si>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</si>
  <si>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</si>
  <si>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</si>
  <si>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</si>
  <si>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</si>
  <si>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</si>
  <si>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</si>
  <si>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</si>
  <si>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</si>
  <si>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</si>
  <si>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</si>
  <si>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</si>
  <si>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</si>
  <si>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</si>
  <si>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</si>
  <si>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</si>
  <si>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</si>
  <si>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</si>
  <si>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</si>
  <si>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</si>
  <si>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</si>
  <si>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</si>
  <si>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</si>
  <si>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</si>
  <si>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</si>
  <si>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</si>
  <si>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</si>
  <si>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</si>
  <si>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</si>
  <si>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</si>
  <si>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</si>
  <si>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</si>
  <si>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</si>
  <si>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</si>
  <si>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</si>
  <si>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</si>
  <si>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</si>
  <si>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</si>
  <si>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</si>
  <si>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</si>
  <si>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</si>
  <si>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</si>
  <si>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</si>
  <si>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</si>
  <si>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</si>
  <si>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</si>
  <si>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</si>
  <si>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</si>
  <si>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</si>
  <si>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</si>
  <si>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</si>
  <si>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</si>
  <si>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</si>
  <si>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</si>
  <si>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</si>
  <si>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</si>
  <si>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</si>
  <si>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</si>
  <si>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</si>
  <si>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</si>
  <si>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</si>
  <si>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</si>
  <si>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</si>
  <si>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</si>
  <si>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</si>
  <si>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</si>
  <si>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</si>
  <si>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</si>
  <si>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</si>
  <si>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</si>
  <si>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</si>
  <si>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</si>
  <si>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</si>
  <si>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</si>
  <si>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</si>
  <si>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</si>
  <si>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</si>
  <si>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</si>
  <si>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</si>
  <si>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</si>
  <si>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</si>
  <si>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</si>
  <si>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</si>
  <si>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</si>
  <si>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</si>
  <si>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</si>
  <si>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</si>
  <si>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</si>
  <si>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</si>
  <si>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</si>
  <si>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</si>
  <si>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</si>
  <si>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</si>
  <si>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</si>
  <si>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</si>
  <si>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</si>
  <si>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</si>
  <si>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</si>
  <si>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</si>
  <si>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</si>
  <si>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</si>
  <si>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</si>
  <si>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</si>
  <si>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</si>
  <si>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</si>
  <si>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</si>
  <si>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</si>
  <si>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</si>
  <si>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</si>
  <si>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</si>
  <si>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</si>
  <si>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</si>
  <si>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</si>
  <si>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</si>
  <si>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</si>
  <si>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</si>
  <si>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</si>
  <si>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</si>
  <si>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Deler av tidligere Sandøy er grensejustert over til Aukra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</si>
  <si>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</si>
  <si>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</si>
  <si>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</si>
  <si>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</si>
  <si>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</si>
  <si>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</si>
  <si>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</si>
  <si>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</si>
  <si>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</si>
  <si>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</si>
  <si>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</si>
  <si>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</si>
  <si>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</si>
  <si>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</si>
  <si>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4a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</si>
  <si>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</si>
  <si>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</si>
  <si>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</si>
  <si>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</si>
  <si>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</si>
  <si>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</si>
  <si>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</si>
  <si>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</si>
  <si>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</si>
  <si>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</si>
  <si>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</si>
  <si>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</si>
  <si>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</si>
  <si>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</si>
  <si>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</si>
  <si>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</si>
  <si>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</si>
  <si>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</si>
  <si>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</si>
  <si>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</si>
  <si>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</si>
  <si>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</si>
  <si>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</si>
  <si>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</si>
  <si>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</si>
  <si>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</si>
  <si>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</si>
  <si>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</si>
  <si>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</si>
  <si>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</si>
  <si>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</si>
  <si>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</si>
  <si>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</si>
  <si>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</si>
  <si>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</si>
  <si>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</si>
  <si>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</si>
  <si>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</si>
  <si>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</si>
  <si>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</si>
  <si>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</si>
  <si>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</si>
  <si>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</si>
  <si>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</si>
  <si>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Deler av tidligere Hjelmeland er grensejustert over til 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</si>
  <si>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</si>
  <si>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</si>
  <si>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</si>
  <si>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</si>
  <si>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</si>
  <si>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</si>
  <si>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</si>
  <si>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</si>
  <si>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</si>
  <si>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</si>
  <si>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</si>
  <si>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</si>
  <si>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</si>
  <si>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</si>
  <si>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</si>
  <si>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</si>
  <si>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</si>
  <si>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</si>
  <si>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</si>
  <si>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</si>
  <si>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</si>
  <si>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</si>
  <si>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</si>
  <si>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</si>
  <si>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</si>
  <si>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</si>
  <si>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</si>
  <si>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</si>
  <si>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</si>
  <si>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</si>
  <si>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</si>
  <si>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</si>
  <si>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</si>
  <si>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</si>
  <si>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</si>
  <si>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</si>
  <si>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</si>
  <si>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</si>
  <si>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</si>
  <si>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</si>
  <si>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</si>
  <si>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</si>
  <si>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</si>
  <si>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</si>
  <si>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</si>
  <si>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</si>
  <si>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</si>
  <si>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</si>
  <si>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</si>
  <si>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</si>
  <si>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</si>
  <si>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</si>
  <si>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</si>
  <si>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</si>
  <si>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</si>
  <si>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</si>
  <si>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</si>
  <si>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</si>
  <si>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</si>
  <si>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</si>
  <si>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</si>
  <si>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</si>
  <si>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</si>
  <si>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</si>
  <si>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</si>
  <si>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</si>
  <si>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</si>
  <si>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</si>
  <si>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</si>
  <si>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</si>
  <si>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</si>
  <si>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</si>
  <si>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</si>
  <si>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</si>
  <si>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</si>
  <si>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</si>
  <si>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</si>
  <si>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</si>
  <si>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</si>
  <si>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</si>
  <si>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</si>
  <si>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</si>
  <si>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</si>
  <si>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</si>
  <si>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</si>
  <si>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</si>
  <si>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</si>
  <si>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</si>
  <si>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</si>
  <si>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</si>
  <si>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</si>
  <si>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</si>
  <si>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</si>
  <si>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</si>
  <si>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Deler av tidligere Verran er grensejustert over til 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</si>
  <si>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</si>
  <si>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</si>
  <si>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</si>
  <si>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</si>
  <si>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</si>
  <si>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</si>
  <si>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</si>
  <si>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</si>
  <si>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</si>
  <si>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</si>
  <si>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</si>
  <si>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</si>
  <si>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</si>
  <si>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</si>
  <si>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</si>
  <si>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</si>
  <si>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</si>
  <si>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</si>
  <si>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</si>
  <si>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</si>
  <si>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</si>
  <si>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</si>
  <si>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</si>
  <si>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</si>
  <si>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</si>
  <si>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</si>
  <si>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</si>
  <si>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</si>
  <si>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</si>
  <si>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</si>
  <si>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</si>
  <si>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</si>
  <si>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</si>
  <si>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</si>
  <si>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</si>
  <si>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</si>
  <si>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</si>
  <si>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</si>
  <si>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</si>
  <si>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</si>
  <si>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</si>
  <si>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</si>
  <si>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</si>
  <si>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</si>
  <si>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</si>
  <si>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</si>
  <si>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</si>
  <si>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</si>
  <si>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</si>
  <si>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</si>
  <si>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</si>
  <si>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</si>
  <si>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</si>
  <si>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</si>
  <si>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</si>
  <si>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</si>
  <si>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</si>
  <si>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</si>
  <si>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</si>
  <si>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</si>
  <si>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</si>
  <si>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</si>
  <si>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</si>
  <si>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</si>
  <si>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</si>
  <si>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</si>
  <si>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</si>
  <si>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</si>
  <si>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</si>
  <si>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</si>
  <si>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</si>
  <si>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</si>
  <si>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</si>
  <si>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</si>
  <si>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</si>
  <si>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</si>
  <si>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</si>
  <si>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</si>
  <si>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</si>
  <si>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</si>
  <si>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</si>
  <si>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Finn arbeidsgiveravgiftssone</t>
  </si>
  <si>
    <t>Søk etter kommune (skriv inn):</t>
  </si>
  <si>
    <t>Marginalskatt etter AGA sone</t>
  </si>
  <si>
    <t>Velg arbeidsgiveravgiftssone</t>
  </si>
  <si>
    <t>Kun til informasjon (for å synliggjøre skatteberegninger)</t>
  </si>
  <si>
    <t>A</t>
  </si>
  <si>
    <t>B</t>
  </si>
  <si>
    <t>C</t>
  </si>
  <si>
    <t>D</t>
  </si>
  <si>
    <t>E</t>
  </si>
  <si>
    <t>F</t>
  </si>
  <si>
    <r>
      <t>Bedriftens skatter og avgifter (</t>
    </r>
    <r>
      <rPr>
        <sz val="12"/>
        <color theme="8"/>
        <rFont val="Aptos"/>
        <family val="2"/>
      </rPr>
      <t>E + F</t>
    </r>
    <r>
      <rPr>
        <sz val="12"/>
        <color theme="1"/>
        <rFont val="Aptos"/>
        <family val="2"/>
      </rPr>
      <t>)</t>
    </r>
  </si>
  <si>
    <r>
      <t>Eiers skatter og avgifter (</t>
    </r>
    <r>
      <rPr>
        <sz val="12"/>
        <color theme="5"/>
        <rFont val="Aptos"/>
        <family val="2"/>
      </rPr>
      <t>A + B + C + D</t>
    </r>
    <r>
      <rPr>
        <sz val="12"/>
        <color theme="1"/>
        <rFont val="Aptos"/>
        <family val="2"/>
      </rPr>
      <t>)</t>
    </r>
  </si>
  <si>
    <r>
      <t xml:space="preserve">Her kan du </t>
    </r>
    <r>
      <rPr>
        <b/>
        <i/>
        <sz val="11"/>
        <color theme="1"/>
        <rFont val="Aptos"/>
        <family val="2"/>
      </rPr>
      <t>legge inn egne tall</t>
    </r>
    <r>
      <rPr>
        <i/>
        <sz val="11"/>
        <color theme="1"/>
        <rFont val="Aptos"/>
        <family val="2"/>
      </rPr>
      <t xml:space="preserve"> for å simulere effekten av eierlønn.</t>
    </r>
  </si>
  <si>
    <t>Opprinnelig årsresultat før skatt (kan redigeres):</t>
  </si>
  <si>
    <t>Skriv inn opptjent skjermingsfradrag i kroner:</t>
  </si>
  <si>
    <t>Nødvendig årsresultat (før skattefritt utbytte)</t>
  </si>
  <si>
    <t>Selskapsskatt (22 prosent)</t>
  </si>
  <si>
    <t>NB! Sone for AGA hentes fra arket "Lønn eller utbytte" i celle G10</t>
  </si>
  <si>
    <r>
      <t xml:space="preserve">Denne lønnsutbetalingen har </t>
    </r>
    <r>
      <rPr>
        <b/>
        <i/>
        <sz val="12"/>
        <color theme="1"/>
        <rFont val="Aptos"/>
        <family val="2"/>
      </rPr>
      <t>lavere marginalskatt enn skattefritt utbytte</t>
    </r>
    <r>
      <rPr>
        <i/>
        <sz val="12"/>
        <color theme="1"/>
        <rFont val="Aptos"/>
        <family val="2"/>
      </rPr>
      <t>.</t>
    </r>
  </si>
  <si>
    <t>3. Årsresultat til disposisjon for lønn etter skattefritt utbytte og AGA</t>
  </si>
  <si>
    <r>
      <t xml:space="preserve">Hvis disponibelt til lønn (F) fremdeles er positivt, altså etter å ha betalt ut både skattefritt utbytte </t>
    </r>
    <r>
      <rPr>
        <b/>
        <i/>
        <sz val="12"/>
        <color theme="0" tint="-0.499984740745262"/>
        <rFont val="Aptos"/>
        <family val="2"/>
      </rPr>
      <t>OG</t>
    </r>
  </si>
  <si>
    <r>
      <t>Beregnet AGA hvis hele gjenstående årsresultat (</t>
    </r>
    <r>
      <rPr>
        <i/>
        <sz val="12"/>
        <color theme="7" tint="-0.249977111117893"/>
        <rFont val="Aptos"/>
        <family val="2"/>
      </rPr>
      <t>C</t>
    </r>
    <r>
      <rPr>
        <i/>
        <sz val="12"/>
        <color theme="0" tint="-0.499984740745262"/>
        <rFont val="Aptos"/>
        <family val="2"/>
      </rPr>
      <t>) skal utbetales i lønn</t>
    </r>
  </si>
  <si>
    <r>
      <t xml:space="preserve">Åresresultat etter utbetaling av skattefritt utbytte (minus </t>
    </r>
    <r>
      <rPr>
        <sz val="12"/>
        <color rgb="FF0098CB"/>
        <rFont val="Aptos"/>
        <family val="2"/>
      </rPr>
      <t>A</t>
    </r>
    <r>
      <rPr>
        <sz val="12"/>
        <color theme="0" tint="-0.499984740745262"/>
        <rFont val="Aptos"/>
        <family val="2"/>
      </rPr>
      <t xml:space="preserve"> og </t>
    </r>
    <r>
      <rPr>
        <sz val="12"/>
        <color rgb="FF0098CB"/>
        <rFont val="Aptos"/>
        <family val="2"/>
      </rPr>
      <t>B</t>
    </r>
    <r>
      <rPr>
        <sz val="12"/>
        <color theme="0" tint="-0.499984740745262"/>
        <rFont val="Aptos"/>
        <family val="2"/>
      </rPr>
      <t>)</t>
    </r>
  </si>
  <si>
    <r>
      <t>Disponibelt til lønn etter AGA (</t>
    </r>
    <r>
      <rPr>
        <i/>
        <sz val="12"/>
        <color theme="7" tint="-0.249977111117893"/>
        <rFont val="Aptos"/>
        <family val="2"/>
      </rPr>
      <t>C</t>
    </r>
    <r>
      <rPr>
        <i/>
        <sz val="12"/>
        <color theme="0" tint="-0.499984740745262"/>
        <rFont val="Aptos"/>
        <family val="2"/>
      </rPr>
      <t xml:space="preserve"> - </t>
    </r>
    <r>
      <rPr>
        <i/>
        <sz val="12"/>
        <color rgb="FFFF6532"/>
        <rFont val="Aptos"/>
        <family val="2"/>
      </rPr>
      <t>D</t>
    </r>
    <r>
      <rPr>
        <i/>
        <sz val="12"/>
        <color theme="0" tint="-0.499984740745262"/>
        <rFont val="Aptos"/>
        <family val="2"/>
      </rPr>
      <t>)</t>
    </r>
  </si>
  <si>
    <r>
      <t xml:space="preserve">Disponibelt til lønn etter AGA og første lønnsintervall (dvs </t>
    </r>
    <r>
      <rPr>
        <i/>
        <sz val="12"/>
        <rFont val="Aptos"/>
        <family val="2"/>
      </rPr>
      <t>E</t>
    </r>
    <r>
      <rPr>
        <i/>
        <sz val="12"/>
        <color theme="0" tint="-0.499984740745262"/>
        <rFont val="Aptos"/>
        <family val="2"/>
      </rPr>
      <t xml:space="preserve"> minus 217 400 kr)</t>
    </r>
  </si>
  <si>
    <r>
      <t xml:space="preserve">Skatteoptimalt uttak i valgt sone er </t>
    </r>
    <r>
      <rPr>
        <b/>
        <sz val="11"/>
        <color theme="1"/>
        <rFont val="Calibri"/>
        <family val="2"/>
        <scheme val="minor"/>
      </rPr>
      <t>lønn fremfor utbytte</t>
    </r>
    <r>
      <rPr>
        <sz val="11"/>
        <color theme="1"/>
        <rFont val="Calibri"/>
        <family val="2"/>
        <scheme val="minor"/>
      </rPr>
      <t xml:space="preserve"> uansett beløp.</t>
    </r>
  </si>
  <si>
    <t>Sum driftsinntekter:</t>
  </si>
  <si>
    <t>Varekostnader:</t>
  </si>
  <si>
    <t>Andre driftskostnader:</t>
  </si>
  <si>
    <r>
      <t xml:space="preserve">Lønnskostnader </t>
    </r>
    <r>
      <rPr>
        <b/>
        <sz val="12"/>
        <color theme="1"/>
        <rFont val="Aptos"/>
        <family val="2"/>
      </rPr>
      <t>(ekslusive eierlønn)</t>
    </r>
    <r>
      <rPr>
        <sz val="12"/>
        <color theme="1"/>
        <rFont val="Aptos"/>
        <family val="2"/>
      </rPr>
      <t>:</t>
    </r>
  </si>
  <si>
    <t>Avskrivninger:</t>
  </si>
  <si>
    <t>Nedskrivninger:</t>
  </si>
  <si>
    <t>Eierbedriften AS</t>
  </si>
  <si>
    <t>Sum finansinntekter:</t>
  </si>
  <si>
    <t>Sum finanskostnader:</t>
  </si>
  <si>
    <r>
      <t>Skatteoptimal lønn i valgt AGA-sone (</t>
    </r>
    <r>
      <rPr>
        <sz val="11"/>
        <color theme="5"/>
        <rFont val="Aptos"/>
        <family val="2"/>
      </rPr>
      <t>fra "Lønn eller utbytte")</t>
    </r>
  </si>
  <si>
    <t>Til eventuell eierlønn etter AGA</t>
  </si>
  <si>
    <t>Til utbetaling av utbytte (før selskapsskatt)</t>
  </si>
  <si>
    <t>skjermingsfradrag / skattefritt utbytte.</t>
  </si>
  <si>
    <t>G</t>
  </si>
  <si>
    <t>H</t>
  </si>
  <si>
    <t>I</t>
  </si>
  <si>
    <r>
      <t>Skatt for bedrift (</t>
    </r>
    <r>
      <rPr>
        <sz val="12"/>
        <color theme="5" tint="-0.249977111117893"/>
        <rFont val="Aptos"/>
        <family val="2"/>
      </rPr>
      <t>G</t>
    </r>
    <r>
      <rPr>
        <sz val="12"/>
        <color theme="1"/>
        <rFont val="Aptos"/>
        <family val="2"/>
      </rPr>
      <t xml:space="preserve"> +</t>
    </r>
    <r>
      <rPr>
        <sz val="12"/>
        <color theme="5" tint="-0.249977111117893"/>
        <rFont val="Aptos"/>
        <family val="2"/>
      </rPr>
      <t xml:space="preserve"> H </t>
    </r>
    <r>
      <rPr>
        <sz val="12"/>
        <color theme="1"/>
        <rFont val="Aptos"/>
        <family val="2"/>
      </rPr>
      <t>+</t>
    </r>
    <r>
      <rPr>
        <sz val="12"/>
        <color theme="5" tint="-0.249977111117893"/>
        <rFont val="Aptos"/>
        <family val="2"/>
      </rPr>
      <t xml:space="preserve"> I</t>
    </r>
    <r>
      <rPr>
        <sz val="12"/>
        <color theme="1"/>
        <rFont val="Aptos"/>
        <family val="2"/>
      </rPr>
      <t>)</t>
    </r>
  </si>
  <si>
    <t>K</t>
  </si>
  <si>
    <t>L</t>
  </si>
  <si>
    <t>Skatter for eier (K + L)</t>
  </si>
  <si>
    <t>Selskapsskatt på ordinært utbytte</t>
  </si>
  <si>
    <t>Skriv inn lønn til eier (eksl. AGA):</t>
  </si>
  <si>
    <t>Sum inntektsskatt (før trinnskatt)</t>
  </si>
  <si>
    <r>
      <t xml:space="preserve">Inntektsskatt </t>
    </r>
    <r>
      <rPr>
        <b/>
        <sz val="12"/>
        <color theme="0" tint="-0.499984740745262"/>
        <rFont val="Aptos"/>
        <family val="2"/>
      </rPr>
      <t>inklusive</t>
    </r>
    <r>
      <rPr>
        <sz val="12"/>
        <color theme="0" tint="-0.499984740745262"/>
        <rFont val="Aptos"/>
        <family val="2"/>
      </rPr>
      <t xml:space="preserve"> trinnskatt</t>
    </r>
  </si>
  <si>
    <t>NB! Sum av personfradrag og minstefradrag (er brukt opp)</t>
  </si>
  <si>
    <t>Trinnskatt nivå 1</t>
  </si>
  <si>
    <r>
      <t xml:space="preserve">Skatteoptimalt uttak i valgt sone er </t>
    </r>
    <r>
      <rPr>
        <b/>
        <sz val="11"/>
        <rFont val="Calibri"/>
        <family val="2"/>
        <scheme val="minor"/>
      </rPr>
      <t>inntil 980 100 kr i lønn</t>
    </r>
    <r>
      <rPr>
        <sz val="11"/>
        <color theme="1"/>
        <rFont val="Calibri"/>
        <family val="2"/>
        <scheme val="minor"/>
      </rPr>
      <t>, deretter utbytte.</t>
    </r>
  </si>
  <si>
    <r>
      <t xml:space="preserve">Skatteoptimalt uttak i valgt sone er </t>
    </r>
    <r>
      <rPr>
        <b/>
        <sz val="11"/>
        <color theme="1"/>
        <rFont val="Calibri"/>
        <family val="2"/>
        <scheme val="minor"/>
      </rPr>
      <t>inntil 980 100 kr i lønn</t>
    </r>
    <r>
      <rPr>
        <sz val="11"/>
        <color theme="1"/>
        <rFont val="Calibri"/>
        <family val="2"/>
        <scheme val="minor"/>
      </rPr>
      <t>, deretter utbytte.</t>
    </r>
  </si>
  <si>
    <t>Sum netto utbetaling</t>
  </si>
  <si>
    <t>1. Hjelpeberegning (lønn inntil 226 100 før skattefritt utbytte)</t>
  </si>
  <si>
    <r>
      <t xml:space="preserve">Marginalskatten på </t>
    </r>
    <r>
      <rPr>
        <b/>
        <i/>
        <sz val="12"/>
        <color theme="1"/>
        <rFont val="Aptos"/>
        <family val="2"/>
      </rPr>
      <t>lønn inntil 226 100</t>
    </r>
    <r>
      <rPr>
        <i/>
        <sz val="12"/>
        <color theme="1"/>
        <rFont val="Aptos"/>
        <family val="2"/>
      </rPr>
      <t xml:space="preserve"> kroner er</t>
    </r>
    <r>
      <rPr>
        <b/>
        <i/>
        <sz val="12"/>
        <color theme="1"/>
        <rFont val="Aptos"/>
        <family val="2"/>
      </rPr>
      <t xml:space="preserve"> lavere enn selskapsskatten i alle AGA-soner</t>
    </r>
    <r>
      <rPr>
        <i/>
        <sz val="12"/>
        <color theme="1"/>
        <rFont val="Aptos"/>
        <family val="2"/>
      </rPr>
      <t xml:space="preserve">. </t>
    </r>
  </si>
  <si>
    <t xml:space="preserve">Det vil derfor alltid "lønne seg" å først ta ut lønn inntil 226 100 kroner, uansett om eier har opptjent </t>
  </si>
  <si>
    <r>
      <t>226 100 kroner i lønn, vil</t>
    </r>
    <r>
      <rPr>
        <b/>
        <i/>
        <sz val="12"/>
        <color theme="0" tint="-0.499984740745262"/>
        <rFont val="Aptos"/>
        <family val="2"/>
      </rPr>
      <t xml:space="preserve"> valget mellom eierlønn og ordinært utbytte</t>
    </r>
    <r>
      <rPr>
        <i/>
        <sz val="12"/>
        <color theme="0" tint="-0.499984740745262"/>
        <rFont val="Aptos"/>
        <family val="2"/>
      </rPr>
      <t xml:space="preserve"> blir likt den originale modellen.</t>
    </r>
  </si>
  <si>
    <t>Skjermingsbeløp og utbytte etter selskapsskatt</t>
  </si>
  <si>
    <t>Legg inn egne tall i det forenklede resultatregnskapet se hvordan uttak av eierlønn påvirker skattebelastningen.</t>
  </si>
  <si>
    <t>Lønn eller utbytte for eier ansatt i eget selskap - 2026</t>
  </si>
  <si>
    <r>
      <t xml:space="preserve">Diagrammet viser brytningspunktene for marginalskatt på lønn inkl. arbeidsgiveravgift </t>
    </r>
    <r>
      <rPr>
        <b/>
        <sz val="14"/>
        <color theme="1"/>
        <rFont val="Calibri"/>
        <family val="2"/>
        <scheme val="minor"/>
      </rPr>
      <t>vs</t>
    </r>
    <r>
      <rPr>
        <sz val="14"/>
        <color theme="1"/>
        <rFont val="Calibri"/>
        <family val="2"/>
        <scheme val="minor"/>
      </rPr>
      <t xml:space="preserve"> selskapsskatt og utbytteskatt.</t>
    </r>
  </si>
  <si>
    <r>
      <rPr>
        <b/>
        <sz val="12"/>
        <color theme="0"/>
        <rFont val="Aptos"/>
        <family val="2"/>
      </rPr>
      <t>NB!</t>
    </r>
    <r>
      <rPr>
        <sz val="12"/>
        <color theme="0"/>
        <rFont val="Aptos"/>
        <family val="2"/>
      </rPr>
      <t xml:space="preserve"> Kun celler med grå bakgrunn kan redigeres under punktene </t>
    </r>
    <r>
      <rPr>
        <b/>
        <i/>
        <sz val="12"/>
        <color theme="0"/>
        <rFont val="Aptos"/>
        <family val="2"/>
      </rPr>
      <t>"Eierbedriften AS"</t>
    </r>
    <r>
      <rPr>
        <sz val="12"/>
        <color theme="0"/>
        <rFont val="Aptos"/>
        <family val="2"/>
      </rPr>
      <t xml:space="preserve"> og </t>
    </r>
    <r>
      <rPr>
        <b/>
        <i/>
        <sz val="12"/>
        <color theme="0"/>
        <rFont val="Aptos"/>
        <family val="2"/>
      </rPr>
      <t>"Disponering av årsresultat til lønn eller utbytte"</t>
    </r>
    <r>
      <rPr>
        <sz val="12"/>
        <color theme="0"/>
        <rFont val="Aptos"/>
        <family val="2"/>
      </rPr>
      <t>.</t>
    </r>
  </si>
  <si>
    <r>
      <rPr>
        <b/>
        <i/>
        <sz val="11"/>
        <color theme="1"/>
        <rFont val="Aptos"/>
        <family val="2"/>
      </rPr>
      <t>Velg sone</t>
    </r>
    <r>
      <rPr>
        <i/>
        <sz val="11"/>
        <color theme="1"/>
        <rFont val="Aptos"/>
        <family val="2"/>
      </rPr>
      <t xml:space="preserve"> og </t>
    </r>
    <r>
      <rPr>
        <b/>
        <i/>
        <sz val="11"/>
        <color theme="1"/>
        <rFont val="Aptos"/>
        <family val="2"/>
      </rPr>
      <t>legg inn eierlønn</t>
    </r>
    <r>
      <rPr>
        <i/>
        <sz val="11"/>
        <color theme="1"/>
        <rFont val="Aptos"/>
        <family val="2"/>
      </rPr>
      <t xml:space="preserve"> for å simulere effekten på årsresultat og skattebelastning</t>
    </r>
  </si>
  <si>
    <t>Gjenstående til utbetaling av ordinært utbytte</t>
  </si>
  <si>
    <r>
      <t>Trinn 1 - Skatteoptimal lønn i valgt AGA-sone (</t>
    </r>
    <r>
      <rPr>
        <sz val="11"/>
        <color theme="5"/>
        <rFont val="Aptos"/>
        <family val="2"/>
      </rPr>
      <t>fra "Lønn eller utbytte")</t>
    </r>
  </si>
  <si>
    <t>Gjenstående årsresultat til skattefritt utbytte</t>
  </si>
  <si>
    <r>
      <t>Trinn 2 - Skatteoptimal lønn i valgt AGA-sone (</t>
    </r>
    <r>
      <rPr>
        <sz val="11"/>
        <color theme="5"/>
        <rFont val="Aptos"/>
        <family val="2"/>
      </rPr>
      <t>fra "Lønn eller utbytte")</t>
    </r>
  </si>
  <si>
    <t>Gjenstående årsresultat til fortsatt utbetaling av lønn</t>
  </si>
  <si>
    <t>Nettolønn til eier (C + D)</t>
  </si>
  <si>
    <t>Skattefritt utbytte (E)</t>
  </si>
  <si>
    <t>Ordinært utbytte til utbetaling (F)</t>
  </si>
  <si>
    <t>Differanse 
(uten skjerming)</t>
  </si>
  <si>
    <t>Disponibelt til lønn eller utbytte</t>
  </si>
  <si>
    <t>Utbetalt til eier i lønn</t>
  </si>
  <si>
    <t>Utbetalt til eier i utbytte</t>
  </si>
  <si>
    <t>Sum utbetaling</t>
  </si>
  <si>
    <t>Gjenstående årsresultat til utbytte</t>
  </si>
  <si>
    <t>Skjermingsfradrag (skattefritt utbytte)</t>
  </si>
  <si>
    <t>Nødvendig årsresultat for utbetaling av skattefritt utbytte</t>
  </si>
  <si>
    <t xml:space="preserve">Selskapsskatt </t>
  </si>
  <si>
    <r>
      <rPr>
        <b/>
        <i/>
        <sz val="12"/>
        <rFont val="Aptos"/>
        <family val="2"/>
      </rPr>
      <t xml:space="preserve">NB! </t>
    </r>
    <r>
      <rPr>
        <i/>
        <sz val="12"/>
        <rFont val="Aptos"/>
        <family val="2"/>
      </rPr>
      <t>Husk at lønn, i motsetning til utbytte, gir rett til visse sosial ytelser og stønader (f. eks alderspensjon, sykepenger og foreldrepenger mv.). Maks opptjening til pensjon i Folketrygden er</t>
    </r>
    <r>
      <rPr>
        <b/>
        <i/>
        <sz val="12"/>
        <rFont val="Aptos"/>
        <family val="2"/>
      </rPr>
      <t xml:space="preserve"> 7,1G</t>
    </r>
    <r>
      <rPr>
        <i/>
        <sz val="12"/>
        <rFont val="Aptos"/>
        <family val="2"/>
      </rPr>
      <t xml:space="preserve"> (dvs. </t>
    </r>
    <r>
      <rPr>
        <b/>
        <i/>
        <sz val="12"/>
        <rFont val="Aptos"/>
        <family val="2"/>
      </rPr>
      <t>924 136 kr</t>
    </r>
    <r>
      <rPr>
        <i/>
        <sz val="12"/>
        <rFont val="Aptos"/>
        <family val="2"/>
      </rPr>
      <t xml:space="preserve"> inntil 1. mai 2026).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</si>
</sst>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\ %"/>
    <numFmt numFmtId="165" formatCode="0.0000"/>
    <numFmt numFmtId="166" formatCode="#,##0.000"/>
    <numFmt numFmtId="167" formatCode="#,##0.000000"/>
  </numFmts>
  <fonts count="8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Aptos"/>
      <family val="2"/>
    </font>
    <font>
      <sz val="12"/>
      <color theme="1"/>
      <name val="Aptos"/>
      <family val="2"/>
    </font>
    <font>
      <b/>
      <sz val="12"/>
      <color theme="1"/>
      <name val="Aptos"/>
      <family val="2"/>
    </font>
    <font>
      <sz val="11"/>
      <color theme="1"/>
      <name val="Aptos"/>
      <family val="2"/>
    </font>
    <font>
      <i/>
      <sz val="12"/>
      <name val="Aptos"/>
      <family val="2"/>
    </font>
    <font>
      <i/>
      <sz val="12"/>
      <color theme="1"/>
      <name val="Aptos"/>
      <family val="2"/>
    </font>
    <font>
      <sz val="12"/>
      <name val="Aptos"/>
      <family val="2"/>
    </font>
    <font>
      <sz val="12"/>
      <color rgb="FFFF6532"/>
      <name val="Aptos"/>
      <family val="2"/>
    </font>
    <font>
      <b/>
      <sz val="11"/>
      <color theme="1"/>
      <name val="Aptos"/>
      <family val="2"/>
    </font>
    <font>
      <sz val="11"/>
      <color theme="9" tint="-0.249977111117893"/>
      <name val="Aptos"/>
      <family val="2"/>
    </font>
    <font>
      <b/>
      <sz val="12"/>
      <name val="Aptos"/>
      <family val="2"/>
    </font>
    <font>
      <b/>
      <sz val="16"/>
      <color theme="1"/>
      <name val="Aptos"/>
      <family val="2"/>
    </font>
    <font>
      <b/>
      <sz val="12"/>
      <color theme="3"/>
      <name val="Aptos"/>
      <family val="2"/>
    </font>
    <font>
      <b/>
      <sz val="12"/>
      <color rgb="FFFF3B3B"/>
      <name val="Aptos"/>
      <family val="2"/>
    </font>
    <font>
      <sz val="12"/>
      <color theme="3"/>
      <name val="Aptos"/>
      <family val="2"/>
    </font>
    <font>
      <sz val="12"/>
      <color rgb="FFFF3B3B"/>
      <name val="Aptos"/>
      <family val="2"/>
    </font>
    <font>
      <b/>
      <sz val="12"/>
      <color rgb="FF006598"/>
      <name val="Aptos"/>
      <family val="2"/>
    </font>
    <font>
      <b/>
      <sz val="14"/>
      <color rgb="FF006598"/>
      <name val="Aptos"/>
      <family val="2"/>
    </font>
    <font>
      <b/>
      <sz val="12"/>
      <color rgb="FF320065"/>
      <name val="Aptos"/>
      <family val="2"/>
    </font>
    <font>
      <b/>
      <sz val="14"/>
      <color rgb="FF320065"/>
      <name val="Aptos"/>
      <family val="2"/>
    </font>
    <font>
      <sz val="12"/>
      <color rgb="FF006598"/>
      <name val="Aptos"/>
      <family val="2"/>
    </font>
    <font>
      <b/>
      <sz val="24"/>
      <color theme="1"/>
      <name val="Aptos"/>
      <family val="2"/>
    </font>
    <font>
      <i/>
      <sz val="11"/>
      <color theme="1"/>
      <name val="Aptos"/>
      <family val="2"/>
    </font>
    <font>
      <sz val="11"/>
      <color theme="3"/>
      <name val="Aptos"/>
      <family val="2"/>
    </font>
    <font>
      <b/>
      <i/>
      <sz val="16"/>
      <color theme="3"/>
      <name val="Aptos"/>
      <family val="2"/>
    </font>
    <font>
      <i/>
      <sz val="11"/>
      <color theme="3"/>
      <name val="Aptos"/>
      <family val="2"/>
    </font>
    <font>
      <b/>
      <i/>
      <sz val="11"/>
      <color theme="3"/>
      <name val="Aptos"/>
      <family val="2"/>
    </font>
    <font>
      <sz val="11"/>
      <color rgb="FFFF0000"/>
      <name val="Aptos"/>
      <family val="2"/>
    </font>
    <font>
      <sz val="11"/>
      <color theme="9"/>
      <name val="Aptos"/>
      <family val="2"/>
    </font>
    <font>
      <sz val="12"/>
      <color rgb="FFFF0000"/>
      <name val="Aptos"/>
      <family val="2"/>
    </font>
    <font>
      <sz val="12"/>
      <color theme="9"/>
      <name val="Aptos"/>
      <family val="2"/>
    </font>
    <font>
      <i/>
      <sz val="14"/>
      <color theme="1"/>
      <name val="Aptos"/>
      <family val="2"/>
    </font>
    <font>
      <b/>
      <i/>
      <sz val="11"/>
      <color theme="1"/>
      <name val="Aptos"/>
      <family val="2"/>
    </font>
    <font>
      <b/>
      <sz val="22"/>
      <color theme="1"/>
      <name val="Aptos"/>
      <family val="2"/>
    </font>
    <font>
      <b/>
      <sz val="22"/>
      <color theme="1" tint="0.499984740745262"/>
      <name val="Aptos"/>
      <family val="2"/>
    </font>
    <font>
      <sz val="11"/>
      <color theme="1" tint="0.499984740745262"/>
      <name val="Aptos"/>
      <family val="2"/>
    </font>
    <font>
      <sz val="14"/>
      <color theme="1" tint="0.499984740745262"/>
      <name val="Aptos"/>
      <family val="2"/>
    </font>
    <font>
      <b/>
      <sz val="16"/>
      <color theme="1" tint="0.499984740745262"/>
      <name val="Aptos"/>
      <family val="2"/>
    </font>
    <font>
      <b/>
      <sz val="12"/>
      <color theme="1" tint="0.499984740745262"/>
      <name val="Aptos"/>
      <family val="2"/>
    </font>
    <font>
      <b/>
      <sz val="11"/>
      <color theme="1" tint="0.499984740745262"/>
      <name val="Aptos"/>
      <family val="2"/>
    </font>
    <font>
      <sz val="12"/>
      <color theme="1" tint="0.499984740745262"/>
      <name val="Aptos"/>
      <family val="2"/>
    </font>
    <font>
      <b/>
      <i/>
      <sz val="12"/>
      <color theme="1"/>
      <name val="Aptos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Aptos"/>
      <family val="2"/>
    </font>
    <font>
      <b/>
      <i/>
      <sz val="12"/>
      <color rgb="FF006598"/>
      <name val="Aptos"/>
      <family val="2"/>
    </font>
    <font>
      <b/>
      <sz val="12"/>
      <color theme="1"/>
      <name val="Calibri"/>
      <family val="2"/>
      <scheme val="minor"/>
    </font>
    <font>
      <b/>
      <sz val="16"/>
      <color theme="0" tint="-0.499984740745262"/>
      <name val="Aptos"/>
      <family val="2"/>
    </font>
    <font>
      <sz val="11"/>
      <color theme="0" tint="-0.499984740745262"/>
      <name val="Aptos"/>
      <family val="2"/>
    </font>
    <font>
      <b/>
      <sz val="14"/>
      <color theme="0" tint="-0.499984740745262"/>
      <name val="Aptos"/>
      <family val="2"/>
    </font>
    <font>
      <b/>
      <sz val="11"/>
      <color theme="0" tint="-0.499984740745262"/>
      <name val="Aptos"/>
      <family val="2"/>
    </font>
    <font>
      <sz val="12"/>
      <color theme="0" tint="-0.499984740745262"/>
      <name val="Aptos"/>
      <family val="2"/>
    </font>
    <font>
      <b/>
      <sz val="12"/>
      <color theme="0" tint="-0.499984740745262"/>
      <name val="Aptos"/>
      <family val="2"/>
    </font>
    <font>
      <i/>
      <sz val="12"/>
      <color theme="0" tint="-0.499984740745262"/>
      <name val="Aptos"/>
      <family val="2"/>
    </font>
    <font>
      <sz val="14"/>
      <name val="Aptos"/>
      <family val="2"/>
    </font>
    <font>
      <i/>
      <sz val="11"/>
      <color theme="0" tint="-0.499984740745262"/>
      <name val="Aptos"/>
      <family val="2"/>
    </font>
    <font>
      <sz val="11"/>
      <color theme="5"/>
      <name val="Aptos"/>
      <family val="2"/>
    </font>
    <font>
      <sz val="12"/>
      <color theme="5"/>
      <name val="Aptos"/>
      <family val="2"/>
    </font>
    <font>
      <sz val="11"/>
      <color theme="8"/>
      <name val="Aptos"/>
      <family val="2"/>
    </font>
    <font>
      <sz val="12"/>
      <color theme="8"/>
      <name val="Aptos"/>
      <family val="2"/>
    </font>
    <font>
      <sz val="11"/>
      <color rgb="FF0098CB"/>
      <name val="Aptos"/>
      <family val="2"/>
    </font>
    <font>
      <sz val="12"/>
      <color rgb="FF0098CB"/>
      <name val="Aptos"/>
      <family val="2"/>
    </font>
    <font>
      <sz val="11"/>
      <color theme="7" tint="-0.249977111117893"/>
      <name val="Aptos"/>
      <family val="2"/>
    </font>
    <font>
      <i/>
      <sz val="12"/>
      <color theme="7" tint="-0.249977111117893"/>
      <name val="Aptos"/>
      <family val="2"/>
    </font>
    <font>
      <i/>
      <sz val="11"/>
      <color rgb="FF7030A0"/>
      <name val="Aptos"/>
      <family val="2"/>
    </font>
    <font>
      <i/>
      <sz val="11"/>
      <name val="Aptos"/>
      <family val="2"/>
    </font>
    <font>
      <b/>
      <i/>
      <sz val="12"/>
      <color theme="0" tint="-0.499984740745262"/>
      <name val="Aptos"/>
      <family val="2"/>
    </font>
    <font>
      <i/>
      <sz val="11"/>
      <color rgb="FFFF6532"/>
      <name val="Aptos"/>
      <family val="2"/>
    </font>
    <font>
      <i/>
      <sz val="12"/>
      <color rgb="FFFF6532"/>
      <name val="Aptos"/>
      <family val="2"/>
    </font>
    <font>
      <sz val="12"/>
      <color rgb="FF320065"/>
      <name val="Aptos"/>
      <family val="2"/>
    </font>
    <font>
      <sz val="11"/>
      <color rgb="FF320065"/>
      <name val="Aptos"/>
      <family val="2"/>
    </font>
    <font>
      <b/>
      <sz val="12"/>
      <color theme="5"/>
      <name val="Aptos"/>
      <family val="2"/>
    </font>
    <font>
      <b/>
      <i/>
      <sz val="12"/>
      <name val="Aptos"/>
      <family val="2"/>
    </font>
    <font>
      <b/>
      <sz val="11"/>
      <name val="Calibri"/>
      <family val="2"/>
      <scheme val="minor"/>
    </font>
    <font>
      <i/>
      <sz val="12"/>
      <color rgb="FFC00000"/>
      <name val="Aptos"/>
      <family val="2"/>
    </font>
    <font>
      <b/>
      <i/>
      <sz val="12"/>
      <color rgb="FF320065"/>
      <name val="Aptos"/>
      <family val="2"/>
    </font>
    <font>
      <sz val="11"/>
      <color theme="5" tint="-0.249977111117893"/>
      <name val="Aptos"/>
      <family val="2"/>
    </font>
    <font>
      <sz val="12"/>
      <color theme="5" tint="-0.249977111117893"/>
      <name val="Aptos"/>
      <family val="2"/>
    </font>
    <font>
      <b/>
      <sz val="14"/>
      <color theme="1"/>
      <name val="Calibri"/>
      <family val="2"/>
      <scheme val="minor"/>
    </font>
    <font>
      <sz val="12"/>
      <color theme="0"/>
      <name val="Aptos"/>
      <family val="2"/>
    </font>
    <font>
      <b/>
      <i/>
      <sz val="12"/>
      <color theme="0"/>
      <name val="Aptos"/>
      <family val="2"/>
    </font>
    <font>
      <sz val="12"/>
      <color rgb="FFC00000"/>
      <name val="Aptos"/>
      <family val="2"/>
    </font>
    <font>
      <sz val="12"/>
      <color theme="9" tint="-0.249977111117893"/>
      <name val="Aptos"/>
      <family val="2"/>
    </font>
    <font>
      <sz val="12"/>
      <color theme="4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CC99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CC99FF"/>
      </patternFill>
    </fill>
    <fill>
      <patternFill patternType="solid">
        <fgColor rgb="FF006598"/>
        <bgColor indexed="64"/>
      </patternFill>
    </fill>
    <fill>
      <patternFill patternType="solid">
        <fgColor rgb="FFC00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320065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6598"/>
      </bottom>
      <diagonal/>
    </border>
    <border>
      <left/>
      <right/>
      <top/>
      <bottom style="medium">
        <color rgb="FF006598"/>
      </bottom>
      <diagonal/>
    </border>
    <border>
      <left/>
      <right/>
      <top/>
      <bottom style="medium">
        <color rgb="FF3200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6598"/>
      </left>
      <right style="thin">
        <color rgb="FF006598"/>
      </right>
      <top style="thin">
        <color rgb="FF006598"/>
      </top>
      <bottom style="thin">
        <color rgb="FF006598"/>
      </bottom>
      <diagonal/>
    </border>
    <border>
      <left style="medium">
        <color rgb="FF006598"/>
      </left>
      <right style="medium">
        <color rgb="FF006598"/>
      </right>
      <top style="medium">
        <color rgb="FF006598"/>
      </top>
      <bottom style="medium">
        <color rgb="FF00659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7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2" fillId="0" borderId="0" xfId="0" applyFont="1"/>
    <xf numFmtId="10" fontId="0" fillId="0" borderId="0" xfId="1" applyNumberFormat="1" applyFont="1" applyAlignment="1">
      <alignment horizontal="center"/>
    </xf>
    <xf numFmtId="10" fontId="0" fillId="0" borderId="0" xfId="1" applyNumberFormat="1" applyFont="1" applyFill="1" applyAlignment="1">
      <alignment horizontal="center"/>
    </xf>
    <xf numFmtId="0" fontId="2" fillId="0" borderId="0" xfId="0" applyFont="1" applyAlignment="1">
      <alignment horizontal="center" wrapText="1"/>
    </xf>
    <xf numFmtId="165" fontId="0" fillId="0" borderId="0" xfId="0" applyNumberFormat="1"/>
    <xf numFmtId="9" fontId="0" fillId="0" borderId="0" xfId="1" applyFont="1" applyFill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2" fillId="0" borderId="11" xfId="0" applyFont="1" applyBorder="1" applyAlignment="1">
      <alignment horizontal="center" wrapText="1"/>
    </xf>
    <xf numFmtId="10" fontId="0" fillId="0" borderId="12" xfId="1" applyNumberFormat="1" applyFont="1" applyBorder="1" applyAlignment="1">
      <alignment horizontal="center"/>
    </xf>
    <xf numFmtId="10" fontId="0" fillId="0" borderId="12" xfId="1" applyNumberFormat="1" applyFont="1" applyFill="1" applyBorder="1" applyAlignment="1">
      <alignment horizontal="center"/>
    </xf>
    <xf numFmtId="10" fontId="0" fillId="2" borderId="12" xfId="1" applyNumberFormat="1" applyFont="1" applyFill="1" applyBorder="1" applyAlignment="1">
      <alignment horizontal="center"/>
    </xf>
    <xf numFmtId="10" fontId="0" fillId="0" borderId="13" xfId="1" applyNumberFormat="1" applyFont="1" applyFill="1" applyBorder="1" applyAlignment="1">
      <alignment horizontal="center"/>
    </xf>
    <xf numFmtId="49" fontId="0" fillId="0" borderId="0" xfId="0" applyNumberFormat="1"/>
    <xf numFmtId="10" fontId="0" fillId="0" borderId="0" xfId="0" applyNumberFormat="1" applyAlignment="1">
      <alignment horizontal="center"/>
    </xf>
    <xf numFmtId="0" fontId="5" fillId="0" borderId="0" xfId="0" applyFont="1"/>
    <xf numFmtId="0" fontId="5" fillId="0" borderId="7" xfId="0" applyFont="1" applyBorder="1"/>
    <xf numFmtId="0" fontId="6" fillId="0" borderId="7" xfId="0" applyFont="1" applyBorder="1"/>
    <xf numFmtId="0" fontId="6" fillId="0" borderId="9" xfId="0" applyFont="1" applyBorder="1"/>
    <xf numFmtId="0" fontId="7" fillId="0" borderId="0" xfId="0" applyFont="1"/>
    <xf numFmtId="0" fontId="4" fillId="0" borderId="7" xfId="0" applyFont="1" applyBorder="1"/>
    <xf numFmtId="0" fontId="7" fillId="0" borderId="0" xfId="0" applyFont="1" applyAlignment="1">
      <alignment horizontal="center"/>
    </xf>
    <xf numFmtId="49" fontId="5" fillId="3" borderId="10" xfId="0" applyNumberFormat="1" applyFont="1" applyFill="1" applyBorder="1" applyAlignment="1" applyProtection="1">
      <alignment horizontal="center" vertical="center"/>
      <protection locked="0"/>
    </xf>
    <xf numFmtId="3" fontId="7" fillId="0" borderId="0" xfId="0" applyNumberFormat="1" applyFont="1" applyAlignment="1">
      <alignment horizontal="center"/>
    </xf>
    <xf numFmtId="0" fontId="8" fillId="0" borderId="0" xfId="0" applyFont="1"/>
    <xf numFmtId="3" fontId="9" fillId="0" borderId="0" xfId="0" applyNumberFormat="1" applyFont="1" applyAlignment="1">
      <alignment horizontal="center"/>
    </xf>
    <xf numFmtId="3" fontId="8" fillId="0" borderId="0" xfId="0" applyNumberFormat="1" applyFont="1" applyAlignment="1">
      <alignment horizontal="center"/>
    </xf>
    <xf numFmtId="0" fontId="11" fillId="0" borderId="0" xfId="0" applyFont="1" applyAlignment="1">
      <alignment vertical="center"/>
    </xf>
    <xf numFmtId="3" fontId="11" fillId="0" borderId="0" xfId="0" applyNumberFormat="1" applyFont="1" applyAlignment="1">
      <alignment horizontal="center" vertical="center"/>
    </xf>
    <xf numFmtId="0" fontId="12" fillId="0" borderId="7" xfId="0" applyFont="1" applyBorder="1" applyAlignment="1">
      <alignment horizontal="center"/>
    </xf>
    <xf numFmtId="9" fontId="7" fillId="0" borderId="0" xfId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164" fontId="7" fillId="0" borderId="0" xfId="1" applyNumberFormat="1" applyFont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0" fontId="15" fillId="0" borderId="0" xfId="0" applyFont="1"/>
    <xf numFmtId="0" fontId="5" fillId="0" borderId="0" xfId="0" applyFont="1" applyAlignment="1">
      <alignment vertical="center"/>
    </xf>
    <xf numFmtId="0" fontId="4" fillId="0" borderId="0" xfId="0" applyFont="1"/>
    <xf numFmtId="3" fontId="12" fillId="0" borderId="7" xfId="0" applyNumberFormat="1" applyFont="1" applyBorder="1" applyAlignment="1">
      <alignment horizontal="center"/>
    </xf>
    <xf numFmtId="0" fontId="10" fillId="0" borderId="7" xfId="0" applyFont="1" applyBorder="1"/>
    <xf numFmtId="3" fontId="10" fillId="0" borderId="7" xfId="0" applyNumberFormat="1" applyFont="1" applyBorder="1" applyAlignment="1">
      <alignment horizontal="center"/>
    </xf>
    <xf numFmtId="0" fontId="10" fillId="0" borderId="0" xfId="0" applyFont="1"/>
    <xf numFmtId="3" fontId="10" fillId="0" borderId="0" xfId="0" applyNumberFormat="1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 wrapText="1"/>
    </xf>
    <xf numFmtId="3" fontId="18" fillId="0" borderId="1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10" fontId="19" fillId="0" borderId="2" xfId="1" applyNumberFormat="1" applyFont="1" applyBorder="1" applyAlignment="1">
      <alignment horizontal="center"/>
    </xf>
    <xf numFmtId="3" fontId="18" fillId="0" borderId="3" xfId="0" applyNumberFormat="1" applyFont="1" applyBorder="1" applyAlignment="1">
      <alignment horizontal="center"/>
    </xf>
    <xf numFmtId="3" fontId="18" fillId="0" borderId="4" xfId="0" applyNumberFormat="1" applyFont="1" applyBorder="1" applyAlignment="1">
      <alignment horizontal="center"/>
    </xf>
    <xf numFmtId="3" fontId="18" fillId="0" borderId="0" xfId="0" applyNumberFormat="1" applyFont="1" applyAlignment="1">
      <alignment horizontal="center"/>
    </xf>
    <xf numFmtId="10" fontId="19" fillId="0" borderId="0" xfId="1" applyNumberFormat="1" applyFont="1" applyBorder="1" applyAlignment="1">
      <alignment horizontal="center"/>
    </xf>
    <xf numFmtId="3" fontId="18" fillId="0" borderId="5" xfId="0" applyNumberFormat="1" applyFont="1" applyBorder="1" applyAlignment="1">
      <alignment horizontal="center"/>
    </xf>
    <xf numFmtId="3" fontId="18" fillId="0" borderId="6" xfId="0" applyNumberFormat="1" applyFont="1" applyBorder="1" applyAlignment="1">
      <alignment horizontal="center"/>
    </xf>
    <xf numFmtId="3" fontId="18" fillId="0" borderId="7" xfId="0" applyNumberFormat="1" applyFont="1" applyBorder="1" applyAlignment="1">
      <alignment horizontal="center"/>
    </xf>
    <xf numFmtId="10" fontId="19" fillId="0" borderId="7" xfId="1" applyNumberFormat="1" applyFont="1" applyBorder="1" applyAlignment="1">
      <alignment horizontal="center"/>
    </xf>
    <xf numFmtId="3" fontId="18" fillId="0" borderId="8" xfId="0" applyNumberFormat="1" applyFont="1" applyBorder="1" applyAlignment="1">
      <alignment horizontal="center"/>
    </xf>
    <xf numFmtId="0" fontId="25" fillId="0" borderId="0" xfId="0" applyFont="1"/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3" fontId="7" fillId="0" borderId="0" xfId="0" applyNumberFormat="1" applyFont="1" applyAlignment="1">
      <alignment horizontal="right"/>
    </xf>
    <xf numFmtId="0" fontId="9" fillId="0" borderId="0" xfId="0" applyFont="1"/>
    <xf numFmtId="3" fontId="2" fillId="0" borderId="0" xfId="0" applyNumberFormat="1" applyFont="1" applyAlignment="1">
      <alignment horizontal="left"/>
    </xf>
    <xf numFmtId="3" fontId="0" fillId="0" borderId="0" xfId="0" applyNumberFormat="1" applyAlignment="1">
      <alignment horizontal="left"/>
    </xf>
    <xf numFmtId="3" fontId="5" fillId="0" borderId="0" xfId="0" applyNumberFormat="1" applyFont="1" applyAlignment="1">
      <alignment horizontal="right"/>
    </xf>
    <xf numFmtId="3" fontId="6" fillId="0" borderId="9" xfId="0" applyNumberFormat="1" applyFont="1" applyBorder="1" applyAlignment="1">
      <alignment horizontal="center"/>
    </xf>
    <xf numFmtId="0" fontId="12" fillId="0" borderId="0" xfId="0" applyFont="1"/>
    <xf numFmtId="3" fontId="12" fillId="0" borderId="15" xfId="0" applyNumberFormat="1" applyFont="1" applyBorder="1" applyAlignment="1">
      <alignment horizontal="center"/>
    </xf>
    <xf numFmtId="0" fontId="6" fillId="0" borderId="0" xfId="0" applyFont="1"/>
    <xf numFmtId="0" fontId="6" fillId="0" borderId="0" xfId="0" applyFont="1" applyProtection="1">
      <protection locked="0"/>
    </xf>
    <xf numFmtId="0" fontId="5" fillId="4" borderId="0" xfId="0" applyFont="1" applyFill="1"/>
    <xf numFmtId="0" fontId="5" fillId="4" borderId="14" xfId="0" applyFont="1" applyFill="1" applyBorder="1"/>
    <xf numFmtId="0" fontId="6" fillId="4" borderId="0" xfId="0" applyFont="1" applyFill="1"/>
    <xf numFmtId="3" fontId="5" fillId="4" borderId="0" xfId="0" applyNumberFormat="1" applyFont="1" applyFill="1"/>
    <xf numFmtId="3" fontId="5" fillId="4" borderId="14" xfId="0" applyNumberFormat="1" applyFont="1" applyFill="1" applyBorder="1"/>
    <xf numFmtId="3" fontId="6" fillId="4" borderId="15" xfId="0" applyNumberFormat="1" applyFont="1" applyFill="1" applyBorder="1"/>
    <xf numFmtId="0" fontId="6" fillId="4" borderId="7" xfId="0" applyFont="1" applyFill="1" applyBorder="1"/>
    <xf numFmtId="0" fontId="15" fillId="4" borderId="0" xfId="0" applyFont="1" applyFill="1"/>
    <xf numFmtId="0" fontId="15" fillId="5" borderId="0" xfId="0" applyFont="1" applyFill="1"/>
    <xf numFmtId="0" fontId="6" fillId="5" borderId="7" xfId="0" applyFont="1" applyFill="1" applyBorder="1"/>
    <xf numFmtId="0" fontId="5" fillId="5" borderId="0" xfId="0" applyFont="1" applyFill="1"/>
    <xf numFmtId="0" fontId="5" fillId="5" borderId="7" xfId="0" applyFont="1" applyFill="1" applyBorder="1"/>
    <xf numFmtId="0" fontId="6" fillId="5" borderId="0" xfId="0" applyFont="1" applyFill="1"/>
    <xf numFmtId="3" fontId="6" fillId="5" borderId="15" xfId="0" applyNumberFormat="1" applyFont="1" applyFill="1" applyBorder="1" applyAlignment="1">
      <alignment horizontal="right"/>
    </xf>
    <xf numFmtId="0" fontId="7" fillId="0" borderId="0" xfId="0" applyFont="1" applyAlignment="1">
      <alignment horizontal="right"/>
    </xf>
    <xf numFmtId="10" fontId="7" fillId="0" borderId="0" xfId="1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7" fillId="2" borderId="0" xfId="0" applyFont="1" applyFill="1"/>
    <xf numFmtId="0" fontId="27" fillId="0" borderId="0" xfId="0" applyFont="1"/>
    <xf numFmtId="10" fontId="27" fillId="0" borderId="0" xfId="1" applyNumberFormat="1" applyFont="1" applyAlignment="1">
      <alignment horizontal="center"/>
    </xf>
    <xf numFmtId="0" fontId="27" fillId="0" borderId="0" xfId="0" applyFont="1" applyAlignment="1">
      <alignment horizontal="left"/>
    </xf>
    <xf numFmtId="0" fontId="28" fillId="2" borderId="0" xfId="0" applyFont="1" applyFill="1"/>
    <xf numFmtId="0" fontId="27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27" fillId="2" borderId="0" xfId="0" applyFont="1" applyFill="1"/>
    <xf numFmtId="0" fontId="29" fillId="2" borderId="1" xfId="0" applyFont="1" applyFill="1" applyBorder="1"/>
    <xf numFmtId="0" fontId="30" fillId="2" borderId="2" xfId="0" applyFont="1" applyFill="1" applyBorder="1" applyAlignment="1">
      <alignment horizontal="center"/>
    </xf>
    <xf numFmtId="0" fontId="30" fillId="2" borderId="3" xfId="0" applyFont="1" applyFill="1" applyBorder="1" applyAlignment="1">
      <alignment horizontal="center"/>
    </xf>
    <xf numFmtId="3" fontId="7" fillId="0" borderId="0" xfId="0" applyNumberFormat="1" applyFont="1"/>
    <xf numFmtId="0" fontId="29" fillId="2" borderId="6" xfId="0" applyFont="1" applyFill="1" applyBorder="1"/>
    <xf numFmtId="9" fontId="29" fillId="2" borderId="7" xfId="1" applyFont="1" applyFill="1" applyBorder="1" applyAlignment="1">
      <alignment horizontal="center"/>
    </xf>
    <xf numFmtId="3" fontId="29" fillId="2" borderId="8" xfId="0" applyNumberFormat="1" applyFont="1" applyFill="1" applyBorder="1" applyAlignment="1">
      <alignment horizontal="center"/>
    </xf>
    <xf numFmtId="165" fontId="7" fillId="0" borderId="0" xfId="1" applyNumberFormat="1" applyFont="1"/>
    <xf numFmtId="0" fontId="29" fillId="2" borderId="0" xfId="0" applyFont="1" applyFill="1"/>
    <xf numFmtId="0" fontId="29" fillId="2" borderId="0" xfId="0" applyFont="1" applyFill="1" applyAlignment="1">
      <alignment horizontal="center"/>
    </xf>
    <xf numFmtId="3" fontId="7" fillId="2" borderId="0" xfId="0" applyNumberFormat="1" applyFont="1" applyFill="1" applyAlignment="1">
      <alignment horizontal="center"/>
    </xf>
    <xf numFmtId="1" fontId="7" fillId="0" borderId="0" xfId="0" applyNumberFormat="1" applyFont="1"/>
    <xf numFmtId="0" fontId="29" fillId="2" borderId="3" xfId="0" applyFont="1" applyFill="1" applyBorder="1" applyAlignment="1">
      <alignment horizontal="center"/>
    </xf>
    <xf numFmtId="0" fontId="29" fillId="2" borderId="8" xfId="0" applyFont="1" applyFill="1" applyBorder="1" applyAlignment="1">
      <alignment horizontal="center"/>
    </xf>
    <xf numFmtId="0" fontId="29" fillId="2" borderId="4" xfId="0" applyFont="1" applyFill="1" applyBorder="1"/>
    <xf numFmtId="164" fontId="29" fillId="2" borderId="0" xfId="1" applyNumberFormat="1" applyFont="1" applyFill="1" applyBorder="1" applyAlignment="1">
      <alignment horizontal="center"/>
    </xf>
    <xf numFmtId="3" fontId="29" fillId="2" borderId="5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 wrapText="1"/>
    </xf>
    <xf numFmtId="0" fontId="12" fillId="3" borderId="0" xfId="0" applyFont="1" applyFill="1" applyAlignment="1">
      <alignment horizontal="center" wrapText="1"/>
    </xf>
    <xf numFmtId="164" fontId="7" fillId="0" borderId="0" xfId="0" applyNumberFormat="1" applyFont="1" applyAlignment="1">
      <alignment horizontal="center"/>
    </xf>
    <xf numFmtId="10" fontId="7" fillId="3" borderId="0" xfId="1" applyNumberFormat="1" applyFont="1" applyFill="1" applyAlignment="1">
      <alignment horizontal="center"/>
    </xf>
    <xf numFmtId="164" fontId="29" fillId="2" borderId="7" xfId="1" applyNumberFormat="1" applyFont="1" applyFill="1" applyBorder="1" applyAlignment="1">
      <alignment horizontal="center"/>
    </xf>
    <xf numFmtId="10" fontId="7" fillId="0" borderId="0" xfId="1" applyNumberFormat="1" applyFont="1" applyFill="1" applyAlignment="1">
      <alignment horizontal="center"/>
    </xf>
    <xf numFmtId="1" fontId="7" fillId="0" borderId="0" xfId="0" applyNumberFormat="1" applyFont="1" applyAlignment="1">
      <alignment horizontal="center"/>
    </xf>
    <xf numFmtId="10" fontId="7" fillId="2" borderId="0" xfId="1" applyNumberFormat="1" applyFont="1" applyFill="1" applyAlignment="1">
      <alignment horizontal="center"/>
    </xf>
    <xf numFmtId="3" fontId="29" fillId="2" borderId="6" xfId="0" applyNumberFormat="1" applyFont="1" applyFill="1" applyBorder="1"/>
    <xf numFmtId="3" fontId="29" fillId="2" borderId="0" xfId="0" applyNumberFormat="1" applyFont="1" applyFill="1"/>
    <xf numFmtId="3" fontId="29" fillId="2" borderId="0" xfId="0" applyNumberFormat="1" applyFont="1" applyFill="1" applyAlignment="1">
      <alignment horizontal="center"/>
    </xf>
    <xf numFmtId="0" fontId="29" fillId="2" borderId="2" xfId="0" applyFont="1" applyFill="1" applyBorder="1" applyAlignment="1">
      <alignment horizontal="center"/>
    </xf>
    <xf numFmtId="0" fontId="7" fillId="5" borderId="0" xfId="0" applyFont="1" applyFill="1"/>
    <xf numFmtId="0" fontId="7" fillId="5" borderId="0" xfId="0" applyFont="1" applyFill="1" applyAlignment="1">
      <alignment horizontal="right"/>
    </xf>
    <xf numFmtId="0" fontId="29" fillId="2" borderId="7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right"/>
    </xf>
    <xf numFmtId="10" fontId="29" fillId="2" borderId="7" xfId="1" applyNumberFormat="1" applyFont="1" applyFill="1" applyBorder="1" applyAlignment="1">
      <alignment horizontal="center"/>
    </xf>
    <xf numFmtId="0" fontId="7" fillId="4" borderId="0" xfId="0" applyFont="1" applyFill="1"/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center"/>
    </xf>
    <xf numFmtId="0" fontId="7" fillId="4" borderId="7" xfId="0" applyFont="1" applyFill="1" applyBorder="1" applyAlignment="1">
      <alignment horizontal="right"/>
    </xf>
    <xf numFmtId="3" fontId="7" fillId="0" borderId="0" xfId="1" applyNumberFormat="1" applyFont="1" applyAlignment="1">
      <alignment horizontal="center"/>
    </xf>
    <xf numFmtId="9" fontId="7" fillId="0" borderId="0" xfId="1" applyFont="1" applyAlignment="1">
      <alignment horizontal="center"/>
    </xf>
    <xf numFmtId="3" fontId="20" fillId="6" borderId="17" xfId="0" applyNumberFormat="1" applyFont="1" applyFill="1" applyBorder="1" applyAlignment="1" applyProtection="1">
      <alignment horizontal="center" vertical="center"/>
      <protection locked="0"/>
    </xf>
    <xf numFmtId="0" fontId="23" fillId="0" borderId="14" xfId="0" applyFont="1" applyBorder="1"/>
    <xf numFmtId="0" fontId="7" fillId="0" borderId="14" xfId="0" applyFont="1" applyBorder="1" applyAlignment="1">
      <alignment horizontal="center"/>
    </xf>
    <xf numFmtId="0" fontId="21" fillId="2" borderId="16" xfId="0" applyFont="1" applyFill="1" applyBorder="1"/>
    <xf numFmtId="0" fontId="7" fillId="2" borderId="16" xfId="0" applyFont="1" applyFill="1" applyBorder="1" applyAlignment="1">
      <alignment horizontal="center"/>
    </xf>
    <xf numFmtId="0" fontId="31" fillId="0" borderId="0" xfId="0" applyFont="1"/>
    <xf numFmtId="0" fontId="32" fillId="0" borderId="0" xfId="0" applyFont="1"/>
    <xf numFmtId="3" fontId="31" fillId="0" borderId="0" xfId="0" applyNumberFormat="1" applyFont="1" applyAlignment="1">
      <alignment horizontal="center"/>
    </xf>
    <xf numFmtId="3" fontId="32" fillId="0" borderId="0" xfId="0" applyNumberFormat="1" applyFont="1" applyAlignment="1">
      <alignment horizontal="center"/>
    </xf>
    <xf numFmtId="0" fontId="7" fillId="0" borderId="7" xfId="0" applyFont="1" applyBorder="1"/>
    <xf numFmtId="0" fontId="12" fillId="0" borderId="0" xfId="0" applyFont="1" applyAlignment="1">
      <alignment horizontal="center"/>
    </xf>
    <xf numFmtId="10" fontId="7" fillId="0" borderId="0" xfId="1" applyNumberFormat="1" applyFont="1" applyBorder="1" applyAlignment="1">
      <alignment horizontal="center"/>
    </xf>
    <xf numFmtId="3" fontId="7" fillId="0" borderId="0" xfId="1" applyNumberFormat="1" applyFont="1" applyBorder="1" applyAlignment="1">
      <alignment horizontal="center"/>
    </xf>
    <xf numFmtId="0" fontId="12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left"/>
    </xf>
    <xf numFmtId="0" fontId="4" fillId="2" borderId="0" xfId="0" applyFont="1" applyFill="1"/>
    <xf numFmtId="0" fontId="5" fillId="2" borderId="0" xfId="0" applyFont="1" applyFill="1"/>
    <xf numFmtId="49" fontId="5" fillId="2" borderId="0" xfId="0" applyNumberFormat="1" applyFont="1" applyFill="1" applyAlignment="1" applyProtection="1">
      <alignment horizontal="center" vertical="center"/>
      <protection locked="0"/>
    </xf>
    <xf numFmtId="3" fontId="5" fillId="0" borderId="0" xfId="0" applyNumberFormat="1" applyFont="1" applyAlignment="1">
      <alignment horizontal="center"/>
    </xf>
    <xf numFmtId="0" fontId="14" fillId="0" borderId="0" xfId="0" applyFont="1"/>
    <xf numFmtId="3" fontId="14" fillId="0" borderId="0" xfId="0" applyNumberFormat="1" applyFont="1" applyAlignment="1">
      <alignment horizontal="center"/>
    </xf>
    <xf numFmtId="0" fontId="23" fillId="0" borderId="0" xfId="0" applyFont="1"/>
    <xf numFmtId="3" fontId="22" fillId="7" borderId="0" xfId="0" applyNumberFormat="1" applyFont="1" applyFill="1" applyAlignment="1" applyProtection="1">
      <alignment horizontal="center" vertical="center"/>
      <protection locked="0"/>
    </xf>
    <xf numFmtId="0" fontId="33" fillId="0" borderId="0" xfId="0" applyFont="1"/>
    <xf numFmtId="0" fontId="34" fillId="0" borderId="0" xfId="0" applyFont="1"/>
    <xf numFmtId="3" fontId="33" fillId="0" borderId="0" xfId="0" applyNumberFormat="1" applyFont="1" applyAlignment="1">
      <alignment horizontal="right"/>
    </xf>
    <xf numFmtId="3" fontId="31" fillId="0" borderId="0" xfId="0" applyNumberFormat="1" applyFont="1" applyAlignment="1">
      <alignment horizontal="right"/>
    </xf>
    <xf numFmtId="3" fontId="32" fillId="0" borderId="0" xfId="0" applyNumberFormat="1" applyFont="1" applyAlignment="1">
      <alignment horizontal="right"/>
    </xf>
    <xf numFmtId="0" fontId="26" fillId="0" borderId="0" xfId="0" applyFont="1" applyAlignment="1">
      <alignment horizontal="left"/>
    </xf>
    <xf numFmtId="0" fontId="35" fillId="0" borderId="0" xfId="0" applyFont="1"/>
    <xf numFmtId="49" fontId="12" fillId="0" borderId="0" xfId="0" applyNumberFormat="1" applyFont="1" applyAlignment="1">
      <alignment horizontal="center"/>
    </xf>
    <xf numFmtId="3" fontId="34" fillId="0" borderId="0" xfId="0" applyNumberFormat="1" applyFont="1" applyAlignment="1">
      <alignment horizontal="center"/>
    </xf>
    <xf numFmtId="3" fontId="3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3" fontId="26" fillId="0" borderId="0" xfId="0" applyNumberFormat="1" applyFont="1" applyAlignment="1">
      <alignment horizontal="right"/>
    </xf>
    <xf numFmtId="0" fontId="12" fillId="0" borderId="0" xfId="0" applyFont="1" applyAlignment="1">
      <alignment horizontal="center" vertical="center"/>
    </xf>
    <xf numFmtId="3" fontId="7" fillId="5" borderId="0" xfId="0" applyNumberFormat="1" applyFont="1" applyFill="1" applyAlignment="1">
      <alignment horizontal="center"/>
    </xf>
    <xf numFmtId="3" fontId="6" fillId="5" borderId="7" xfId="0" applyNumberFormat="1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 wrapText="1"/>
    </xf>
    <xf numFmtId="3" fontId="5" fillId="5" borderId="0" xfId="0" applyNumberFormat="1" applyFont="1" applyFill="1"/>
    <xf numFmtId="3" fontId="5" fillId="5" borderId="0" xfId="0" applyNumberFormat="1" applyFont="1" applyFill="1" applyAlignment="1">
      <alignment horizontal="center"/>
    </xf>
    <xf numFmtId="0" fontId="5" fillId="5" borderId="0" xfId="0" applyFont="1" applyFill="1" applyAlignment="1">
      <alignment horizontal="center"/>
    </xf>
    <xf numFmtId="3" fontId="5" fillId="5" borderId="0" xfId="0" applyNumberFormat="1" applyFont="1" applyFill="1" applyAlignment="1">
      <alignment horizontal="center" vertical="center"/>
    </xf>
    <xf numFmtId="3" fontId="5" fillId="5" borderId="7" xfId="0" applyNumberFormat="1" applyFont="1" applyFill="1" applyBorder="1" applyAlignment="1">
      <alignment horizontal="center"/>
    </xf>
    <xf numFmtId="3" fontId="5" fillId="5" borderId="7" xfId="0" applyNumberFormat="1" applyFont="1" applyFill="1" applyBorder="1" applyAlignment="1">
      <alignment horizontal="center" vertical="center"/>
    </xf>
    <xf numFmtId="3" fontId="6" fillId="5" borderId="15" xfId="0" applyNumberFormat="1" applyFont="1" applyFill="1" applyBorder="1" applyAlignment="1">
      <alignment horizontal="center"/>
    </xf>
    <xf numFmtId="0" fontId="12" fillId="5" borderId="0" xfId="0" applyFont="1" applyFill="1" applyAlignment="1">
      <alignment horizontal="center"/>
    </xf>
    <xf numFmtId="0" fontId="15" fillId="5" borderId="0" xfId="0" applyFont="1" applyFill="1" applyAlignment="1">
      <alignment vertical="top"/>
    </xf>
    <xf numFmtId="0" fontId="12" fillId="4" borderId="0" xfId="0" applyFont="1" applyFill="1" applyAlignment="1">
      <alignment horizontal="center"/>
    </xf>
    <xf numFmtId="3" fontId="7" fillId="4" borderId="0" xfId="0" applyNumberFormat="1" applyFont="1" applyFill="1" applyAlignment="1">
      <alignment horizontal="center"/>
    </xf>
    <xf numFmtId="3" fontId="5" fillId="4" borderId="0" xfId="0" applyNumberFormat="1" applyFont="1" applyFill="1" applyAlignment="1">
      <alignment horizontal="center"/>
    </xf>
    <xf numFmtId="0" fontId="5" fillId="4" borderId="7" xfId="0" applyFont="1" applyFill="1" applyBorder="1"/>
    <xf numFmtId="3" fontId="5" fillId="4" borderId="7" xfId="0" applyNumberFormat="1" applyFont="1" applyFill="1" applyBorder="1" applyAlignment="1">
      <alignment horizontal="center"/>
    </xf>
    <xf numFmtId="3" fontId="6" fillId="4" borderId="15" xfId="0" applyNumberFormat="1" applyFont="1" applyFill="1" applyBorder="1" applyAlignment="1">
      <alignment horizontal="center"/>
    </xf>
    <xf numFmtId="3" fontId="6" fillId="4" borderId="0" xfId="0" applyNumberFormat="1" applyFont="1" applyFill="1" applyAlignment="1">
      <alignment horizontal="center"/>
    </xf>
    <xf numFmtId="10" fontId="5" fillId="4" borderId="0" xfId="1" applyNumberFormat="1" applyFont="1" applyFill="1" applyAlignment="1">
      <alignment horizontal="center"/>
    </xf>
    <xf numFmtId="0" fontId="7" fillId="5" borderId="7" xfId="0" applyFont="1" applyFill="1" applyBorder="1"/>
    <xf numFmtId="0" fontId="7" fillId="4" borderId="7" xfId="0" applyFont="1" applyFill="1" applyBorder="1"/>
    <xf numFmtId="3" fontId="6" fillId="4" borderId="7" xfId="0" applyNumberFormat="1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 wrapText="1"/>
    </xf>
    <xf numFmtId="0" fontId="12" fillId="2" borderId="0" xfId="0" applyFont="1" applyFill="1"/>
    <xf numFmtId="3" fontId="6" fillId="2" borderId="0" xfId="0" applyNumberFormat="1" applyFont="1" applyFill="1" applyAlignment="1">
      <alignment horizontal="center"/>
    </xf>
    <xf numFmtId="3" fontId="24" fillId="0" borderId="0" xfId="0" applyNumberFormat="1" applyFont="1" applyAlignment="1">
      <alignment horizontal="right"/>
    </xf>
    <xf numFmtId="3" fontId="6" fillId="0" borderId="7" xfId="0" applyNumberFormat="1" applyFont="1" applyBorder="1" applyAlignment="1">
      <alignment horizontal="right"/>
    </xf>
    <xf numFmtId="9" fontId="7" fillId="2" borderId="0" xfId="1" applyFont="1" applyFill="1" applyBorder="1" applyAlignment="1">
      <alignment horizontal="center"/>
    </xf>
    <xf numFmtId="164" fontId="7" fillId="2" borderId="0" xfId="1" applyNumberFormat="1" applyFont="1" applyFill="1" applyBorder="1" applyAlignment="1">
      <alignment horizontal="center"/>
    </xf>
    <xf numFmtId="0" fontId="7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3" fontId="13" fillId="2" borderId="0" xfId="0" applyNumberFormat="1" applyFont="1" applyFill="1" applyAlignment="1">
      <alignment horizontal="center"/>
    </xf>
    <xf numFmtId="0" fontId="15" fillId="2" borderId="0" xfId="0" applyFont="1" applyFill="1"/>
    <xf numFmtId="167" fontId="13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37" fillId="0" borderId="0" xfId="0" applyFont="1"/>
    <xf numFmtId="0" fontId="38" fillId="0" borderId="0" xfId="0" applyFont="1"/>
    <xf numFmtId="10" fontId="39" fillId="0" borderId="0" xfId="1" applyNumberFormat="1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left"/>
    </xf>
    <xf numFmtId="0" fontId="39" fillId="2" borderId="0" xfId="0" applyFont="1" applyFill="1"/>
    <xf numFmtId="0" fontId="40" fillId="0" borderId="0" xfId="0" applyFont="1"/>
    <xf numFmtId="0" fontId="41" fillId="2" borderId="0" xfId="0" applyFont="1" applyFill="1"/>
    <xf numFmtId="0" fontId="39" fillId="2" borderId="0" xfId="0" applyFont="1" applyFill="1" applyAlignment="1">
      <alignment horizontal="center"/>
    </xf>
    <xf numFmtId="0" fontId="42" fillId="0" borderId="1" xfId="0" applyFont="1" applyBorder="1" applyAlignment="1">
      <alignment horizontal="center"/>
    </xf>
    <xf numFmtId="0" fontId="42" fillId="0" borderId="2" xfId="0" applyFont="1" applyBorder="1" applyAlignment="1">
      <alignment horizontal="center" wrapText="1"/>
    </xf>
    <xf numFmtId="0" fontId="42" fillId="0" borderId="2" xfId="0" applyFont="1" applyBorder="1" applyAlignment="1">
      <alignment horizontal="center"/>
    </xf>
    <xf numFmtId="0" fontId="42" fillId="0" borderId="3" xfId="0" applyFont="1" applyBorder="1" applyAlignment="1">
      <alignment horizontal="center" wrapText="1"/>
    </xf>
    <xf numFmtId="0" fontId="39" fillId="2" borderId="1" xfId="0" applyFont="1" applyFill="1" applyBorder="1"/>
    <xf numFmtId="0" fontId="43" fillId="2" borderId="2" xfId="0" applyFont="1" applyFill="1" applyBorder="1" applyAlignment="1">
      <alignment horizontal="center"/>
    </xf>
    <xf numFmtId="0" fontId="43" fillId="2" borderId="3" xfId="0" applyFont="1" applyFill="1" applyBorder="1" applyAlignment="1">
      <alignment horizontal="center"/>
    </xf>
    <xf numFmtId="3" fontId="44" fillId="0" borderId="1" xfId="0" applyNumberFormat="1" applyFont="1" applyBorder="1" applyAlignment="1">
      <alignment horizontal="center"/>
    </xf>
    <xf numFmtId="0" fontId="44" fillId="0" borderId="2" xfId="0" applyFont="1" applyBorder="1" applyAlignment="1">
      <alignment horizontal="center"/>
    </xf>
    <xf numFmtId="3" fontId="44" fillId="0" borderId="2" xfId="0" applyNumberFormat="1" applyFont="1" applyBorder="1" applyAlignment="1">
      <alignment horizontal="center"/>
    </xf>
    <xf numFmtId="3" fontId="44" fillId="0" borderId="3" xfId="0" applyNumberFormat="1" applyFont="1" applyBorder="1" applyAlignment="1">
      <alignment horizontal="center"/>
    </xf>
    <xf numFmtId="0" fontId="39" fillId="2" borderId="6" xfId="0" applyFont="1" applyFill="1" applyBorder="1"/>
    <xf numFmtId="9" fontId="39" fillId="2" borderId="7" xfId="1" applyFont="1" applyFill="1" applyBorder="1" applyAlignment="1">
      <alignment horizontal="center"/>
    </xf>
    <xf numFmtId="3" fontId="39" fillId="2" borderId="8" xfId="0" applyNumberFormat="1" applyFont="1" applyFill="1" applyBorder="1" applyAlignment="1">
      <alignment horizontal="center"/>
    </xf>
    <xf numFmtId="3" fontId="44" fillId="0" borderId="4" xfId="0" applyNumberFormat="1" applyFont="1" applyBorder="1" applyAlignment="1">
      <alignment horizontal="center"/>
    </xf>
    <xf numFmtId="3" fontId="44" fillId="0" borderId="0" xfId="0" applyNumberFormat="1" applyFont="1" applyAlignment="1">
      <alignment horizontal="center"/>
    </xf>
    <xf numFmtId="3" fontId="44" fillId="0" borderId="5" xfId="0" applyNumberFormat="1" applyFont="1" applyBorder="1" applyAlignment="1">
      <alignment horizontal="center"/>
    </xf>
    <xf numFmtId="3" fontId="39" fillId="0" borderId="0" xfId="0" applyNumberFormat="1" applyFont="1"/>
    <xf numFmtId="165" fontId="39" fillId="0" borderId="0" xfId="1" applyNumberFormat="1" applyFont="1"/>
    <xf numFmtId="3" fontId="39" fillId="2" borderId="0" xfId="0" applyNumberFormat="1" applyFont="1" applyFill="1" applyAlignment="1">
      <alignment horizontal="center"/>
    </xf>
    <xf numFmtId="3" fontId="44" fillId="0" borderId="6" xfId="0" applyNumberFormat="1" applyFont="1" applyBorder="1" applyAlignment="1">
      <alignment horizontal="center"/>
    </xf>
    <xf numFmtId="3" fontId="44" fillId="0" borderId="7" xfId="0" applyNumberFormat="1" applyFont="1" applyBorder="1" applyAlignment="1">
      <alignment horizontal="center"/>
    </xf>
    <xf numFmtId="3" fontId="44" fillId="0" borderId="8" xfId="0" applyNumberFormat="1" applyFont="1" applyBorder="1" applyAlignment="1">
      <alignment horizontal="center"/>
    </xf>
    <xf numFmtId="1" fontId="39" fillId="0" borderId="0" xfId="0" applyNumberFormat="1" applyFont="1"/>
    <xf numFmtId="0" fontId="39" fillId="2" borderId="3" xfId="0" applyFont="1" applyFill="1" applyBorder="1" applyAlignment="1">
      <alignment horizontal="center"/>
    </xf>
    <xf numFmtId="0" fontId="39" fillId="2" borderId="8" xfId="0" applyFont="1" applyFill="1" applyBorder="1" applyAlignment="1">
      <alignment horizontal="center"/>
    </xf>
    <xf numFmtId="0" fontId="39" fillId="2" borderId="4" xfId="0" applyFont="1" applyFill="1" applyBorder="1"/>
    <xf numFmtId="164" fontId="39" fillId="2" borderId="0" xfId="1" applyNumberFormat="1" applyFont="1" applyFill="1" applyBorder="1" applyAlignment="1">
      <alignment horizontal="center"/>
    </xf>
    <xf numFmtId="3" fontId="39" fillId="2" borderId="5" xfId="0" applyNumberFormat="1" applyFont="1" applyFill="1" applyBorder="1" applyAlignment="1">
      <alignment horizontal="center"/>
    </xf>
    <xf numFmtId="164" fontId="39" fillId="2" borderId="7" xfId="1" applyNumberFormat="1" applyFont="1" applyFill="1" applyBorder="1" applyAlignment="1">
      <alignment horizontal="center"/>
    </xf>
    <xf numFmtId="3" fontId="39" fillId="2" borderId="6" xfId="0" applyNumberFormat="1" applyFont="1" applyFill="1" applyBorder="1"/>
    <xf numFmtId="3" fontId="39" fillId="2" borderId="0" xfId="0" applyNumberFormat="1" applyFont="1" applyFill="1"/>
    <xf numFmtId="0" fontId="39" fillId="2" borderId="2" xfId="0" applyFont="1" applyFill="1" applyBorder="1" applyAlignment="1">
      <alignment horizontal="center"/>
    </xf>
    <xf numFmtId="0" fontId="39" fillId="2" borderId="7" xfId="0" applyFont="1" applyFill="1" applyBorder="1" applyAlignment="1">
      <alignment horizontal="center"/>
    </xf>
    <xf numFmtId="10" fontId="39" fillId="2" borderId="7" xfId="1" applyNumberFormat="1" applyFont="1" applyFill="1" applyBorder="1" applyAlignment="1">
      <alignment horizontal="center"/>
    </xf>
    <xf numFmtId="0" fontId="14" fillId="0" borderId="2" xfId="0" applyFont="1" applyBorder="1" applyAlignment="1">
      <alignment horizontal="center"/>
    </xf>
    <xf numFmtId="10" fontId="10" fillId="0" borderId="2" xfId="1" applyNumberFormat="1" applyFont="1" applyBorder="1" applyAlignment="1">
      <alignment horizontal="center"/>
    </xf>
    <xf numFmtId="10" fontId="10" fillId="0" borderId="0" xfId="1" applyNumberFormat="1" applyFont="1" applyBorder="1" applyAlignment="1">
      <alignment horizontal="center"/>
    </xf>
    <xf numFmtId="10" fontId="10" fillId="0" borderId="7" xfId="1" applyNumberFormat="1" applyFont="1" applyBorder="1" applyAlignment="1">
      <alignment horizontal="center"/>
    </xf>
    <xf numFmtId="0" fontId="45" fillId="0" borderId="0" xfId="0" applyFont="1"/>
    <xf numFmtId="0" fontId="46" fillId="0" borderId="0" xfId="0" applyFont="1"/>
    <xf numFmtId="3" fontId="22" fillId="7" borderId="0" xfId="0" applyNumberFormat="1" applyFont="1" applyFill="1" applyAlignment="1">
      <alignment horizontal="center" vertical="center"/>
    </xf>
    <xf numFmtId="3" fontId="20" fillId="2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47" fillId="0" borderId="0" xfId="0" applyFont="1" applyAlignment="1">
      <alignment horizontal="left"/>
    </xf>
    <xf numFmtId="0" fontId="47" fillId="0" borderId="0" xfId="0" applyFont="1"/>
    <xf numFmtId="0" fontId="0" fillId="0" borderId="7" xfId="0" applyBorder="1"/>
    <xf numFmtId="0" fontId="48" fillId="10" borderId="7" xfId="0" applyFont="1" applyFill="1" applyBorder="1" applyAlignment="1">
      <alignment horizontal="left" vertical="center"/>
    </xf>
    <xf numFmtId="0" fontId="48" fillId="10" borderId="7" xfId="0" applyFont="1" applyFill="1" applyBorder="1" applyAlignment="1">
      <alignment vertical="center"/>
    </xf>
    <xf numFmtId="0" fontId="48" fillId="10" borderId="7" xfId="0" applyFont="1" applyFill="1" applyBorder="1" applyAlignment="1">
      <alignment horizontal="center" vertical="center"/>
    </xf>
    <xf numFmtId="0" fontId="50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53" fillId="2" borderId="7" xfId="0" applyFont="1" applyFill="1" applyBorder="1"/>
    <xf numFmtId="0" fontId="55" fillId="2" borderId="0" xfId="0" applyFont="1" applyFill="1"/>
    <xf numFmtId="3" fontId="52" fillId="2" borderId="0" xfId="0" applyNumberFormat="1" applyFont="1" applyFill="1" applyAlignment="1">
      <alignment horizontal="right"/>
    </xf>
    <xf numFmtId="0" fontId="55" fillId="2" borderId="7" xfId="0" applyFont="1" applyFill="1" applyBorder="1"/>
    <xf numFmtId="3" fontId="52" fillId="2" borderId="7" xfId="0" applyNumberFormat="1" applyFont="1" applyFill="1" applyBorder="1" applyAlignment="1">
      <alignment horizontal="right"/>
    </xf>
    <xf numFmtId="0" fontId="56" fillId="2" borderId="0" xfId="0" applyFont="1" applyFill="1"/>
    <xf numFmtId="3" fontId="54" fillId="2" borderId="15" xfId="0" applyNumberFormat="1" applyFont="1" applyFill="1" applyBorder="1" applyAlignment="1">
      <alignment horizontal="right"/>
    </xf>
    <xf numFmtId="0" fontId="52" fillId="2" borderId="0" xfId="0" applyFont="1" applyFill="1"/>
    <xf numFmtId="0" fontId="56" fillId="2" borderId="7" xfId="0" applyFont="1" applyFill="1" applyBorder="1"/>
    <xf numFmtId="3" fontId="54" fillId="2" borderId="7" xfId="0" applyNumberFormat="1" applyFont="1" applyFill="1" applyBorder="1" applyAlignment="1">
      <alignment horizontal="right"/>
    </xf>
    <xf numFmtId="0" fontId="52" fillId="2" borderId="0" xfId="0" applyFont="1" applyFill="1" applyAlignment="1">
      <alignment horizontal="right"/>
    </xf>
    <xf numFmtId="0" fontId="52" fillId="2" borderId="7" xfId="0" applyFont="1" applyFill="1" applyBorder="1" applyAlignment="1">
      <alignment horizontal="right"/>
    </xf>
    <xf numFmtId="3" fontId="55" fillId="2" borderId="0" xfId="0" applyNumberFormat="1" applyFont="1" applyFill="1" applyAlignment="1">
      <alignment horizontal="right"/>
    </xf>
    <xf numFmtId="0" fontId="56" fillId="2" borderId="2" xfId="0" applyFont="1" applyFill="1" applyBorder="1"/>
    <xf numFmtId="3" fontId="56" fillId="2" borderId="15" xfId="0" applyNumberFormat="1" applyFont="1" applyFill="1" applyBorder="1" applyAlignment="1">
      <alignment horizontal="right"/>
    </xf>
    <xf numFmtId="166" fontId="52" fillId="2" borderId="0" xfId="0" applyNumberFormat="1" applyFont="1" applyFill="1" applyAlignment="1">
      <alignment horizontal="right"/>
    </xf>
    <xf numFmtId="0" fontId="55" fillId="0" borderId="0" xfId="0" applyFont="1" applyAlignment="1">
      <alignment horizontal="left"/>
    </xf>
    <xf numFmtId="0" fontId="57" fillId="0" borderId="0" xfId="0" applyFont="1"/>
    <xf numFmtId="3" fontId="57" fillId="0" borderId="0" xfId="0" applyNumberFormat="1" applyFont="1" applyAlignment="1">
      <alignment horizontal="right"/>
    </xf>
    <xf numFmtId="0" fontId="58" fillId="0" borderId="0" xfId="0" applyFont="1"/>
    <xf numFmtId="0" fontId="60" fillId="0" borderId="0" xfId="0" applyFont="1" applyAlignment="1">
      <alignment horizontal="right"/>
    </xf>
    <xf numFmtId="0" fontId="62" fillId="0" borderId="0" xfId="0" applyFont="1" applyAlignment="1">
      <alignment horizontal="right"/>
    </xf>
    <xf numFmtId="164" fontId="62" fillId="0" borderId="0" xfId="1" applyNumberFormat="1" applyFont="1" applyBorder="1" applyAlignment="1">
      <alignment horizontal="right"/>
    </xf>
    <xf numFmtId="3" fontId="5" fillId="8" borderId="19" xfId="0" applyNumberFormat="1" applyFont="1" applyFill="1" applyBorder="1" applyAlignment="1" applyProtection="1">
      <alignment horizontal="right"/>
      <protection locked="0"/>
    </xf>
    <xf numFmtId="3" fontId="5" fillId="8" borderId="13" xfId="0" applyNumberFormat="1" applyFont="1" applyFill="1" applyBorder="1" applyAlignment="1" applyProtection="1">
      <alignment horizontal="right"/>
      <protection locked="0"/>
    </xf>
    <xf numFmtId="0" fontId="21" fillId="2" borderId="0" xfId="0" applyFont="1" applyFill="1"/>
    <xf numFmtId="3" fontId="22" fillId="9" borderId="20" xfId="0" applyNumberFormat="1" applyFont="1" applyFill="1" applyBorder="1" applyAlignment="1" applyProtection="1">
      <alignment horizontal="center" vertical="center"/>
      <protection locked="0"/>
    </xf>
    <xf numFmtId="3" fontId="20" fillId="8" borderId="20" xfId="0" applyNumberFormat="1" applyFont="1" applyFill="1" applyBorder="1" applyAlignment="1" applyProtection="1">
      <alignment horizontal="center" vertical="center"/>
      <protection locked="0"/>
    </xf>
    <xf numFmtId="0" fontId="64" fillId="0" borderId="0" xfId="0" applyFont="1" applyAlignment="1">
      <alignment horizontal="center"/>
    </xf>
    <xf numFmtId="0" fontId="66" fillId="0" borderId="0" xfId="0" applyFont="1" applyAlignment="1">
      <alignment horizontal="right"/>
    </xf>
    <xf numFmtId="0" fontId="69" fillId="0" borderId="0" xfId="0" applyFont="1" applyAlignment="1">
      <alignment horizontal="right"/>
    </xf>
    <xf numFmtId="0" fontId="68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3" fontId="9" fillId="0" borderId="0" xfId="0" applyNumberFormat="1" applyFont="1" applyAlignment="1">
      <alignment horizontal="left"/>
    </xf>
    <xf numFmtId="0" fontId="53" fillId="0" borderId="7" xfId="0" applyFont="1" applyBorder="1"/>
    <xf numFmtId="9" fontId="52" fillId="0" borderId="7" xfId="1" applyFont="1" applyBorder="1" applyAlignment="1">
      <alignment horizontal="center"/>
    </xf>
    <xf numFmtId="0" fontId="52" fillId="0" borderId="0" xfId="0" applyFont="1"/>
    <xf numFmtId="9" fontId="52" fillId="0" borderId="0" xfId="1" applyFont="1" applyAlignment="1">
      <alignment horizontal="center"/>
    </xf>
    <xf numFmtId="0" fontId="55" fillId="0" borderId="0" xfId="0" applyFont="1"/>
    <xf numFmtId="3" fontId="52" fillId="0" borderId="0" xfId="0" applyNumberFormat="1" applyFont="1" applyAlignment="1">
      <alignment horizontal="right"/>
    </xf>
    <xf numFmtId="3" fontId="59" fillId="0" borderId="0" xfId="0" applyNumberFormat="1" applyFont="1" applyAlignment="1">
      <alignment horizontal="right"/>
    </xf>
    <xf numFmtId="0" fontId="53" fillId="0" borderId="7" xfId="0" applyFont="1" applyBorder="1" applyAlignment="1">
      <alignment horizontal="left"/>
    </xf>
    <xf numFmtId="0" fontId="52" fillId="0" borderId="7" xfId="0" applyFont="1" applyBorder="1"/>
    <xf numFmtId="0" fontId="52" fillId="0" borderId="0" xfId="0" applyFont="1" applyAlignment="1">
      <alignment horizontal="center"/>
    </xf>
    <xf numFmtId="3" fontId="52" fillId="0" borderId="0" xfId="0" applyNumberFormat="1" applyFont="1"/>
    <xf numFmtId="3" fontId="55" fillId="0" borderId="0" xfId="0" applyNumberFormat="1" applyFont="1" applyAlignment="1">
      <alignment horizontal="right"/>
    </xf>
    <xf numFmtId="0" fontId="52" fillId="0" borderId="0" xfId="0" applyFont="1" applyAlignment="1">
      <alignment horizontal="right"/>
    </xf>
    <xf numFmtId="3" fontId="59" fillId="0" borderId="0" xfId="0" applyNumberFormat="1" applyFont="1"/>
    <xf numFmtId="0" fontId="71" fillId="0" borderId="0" xfId="0" applyFont="1" applyAlignment="1">
      <alignment horizontal="right"/>
    </xf>
    <xf numFmtId="0" fontId="73" fillId="0" borderId="0" xfId="0" applyFont="1"/>
    <xf numFmtId="3" fontId="74" fillId="0" borderId="0" xfId="0" applyNumberFormat="1" applyFont="1"/>
    <xf numFmtId="3" fontId="55" fillId="0" borderId="0" xfId="0" applyNumberFormat="1" applyFont="1" applyAlignment="1">
      <alignment horizontal="center"/>
    </xf>
    <xf numFmtId="0" fontId="56" fillId="0" borderId="9" xfId="0" applyFont="1" applyBorder="1"/>
    <xf numFmtId="3" fontId="56" fillId="0" borderId="9" xfId="0" applyNumberFormat="1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 vertical="center"/>
    </xf>
    <xf numFmtId="0" fontId="24" fillId="0" borderId="0" xfId="0" applyFont="1"/>
    <xf numFmtId="3" fontId="73" fillId="0" borderId="0" xfId="0" applyNumberFormat="1" applyFont="1" applyAlignment="1">
      <alignment horizontal="center"/>
    </xf>
    <xf numFmtId="3" fontId="24" fillId="0" borderId="0" xfId="0" applyNumberFormat="1" applyFont="1" applyAlignment="1">
      <alignment horizontal="center"/>
    </xf>
    <xf numFmtId="0" fontId="61" fillId="0" borderId="0" xfId="0" applyFont="1"/>
    <xf numFmtId="3" fontId="61" fillId="0" borderId="0" xfId="0" applyNumberFormat="1" applyFont="1" applyAlignment="1">
      <alignment horizontal="center"/>
    </xf>
    <xf numFmtId="49" fontId="75" fillId="0" borderId="7" xfId="0" applyNumberFormat="1" applyFont="1" applyBorder="1" applyAlignment="1">
      <alignment horizontal="center"/>
    </xf>
    <xf numFmtId="0" fontId="5" fillId="8" borderId="10" xfId="0" applyFont="1" applyFill="1" applyBorder="1" applyAlignment="1" applyProtection="1">
      <alignment horizontal="center" vertical="center"/>
      <protection locked="0"/>
    </xf>
    <xf numFmtId="0" fontId="35" fillId="0" borderId="0" xfId="0" applyFont="1" applyAlignment="1">
      <alignment vertical="center"/>
    </xf>
    <xf numFmtId="0" fontId="51" fillId="2" borderId="0" xfId="0" applyFont="1" applyFill="1"/>
    <xf numFmtId="0" fontId="26" fillId="0" borderId="0" xfId="0" applyFont="1" applyAlignment="1">
      <alignment vertical="top"/>
    </xf>
    <xf numFmtId="0" fontId="26" fillId="0" borderId="0" xfId="0" applyFont="1"/>
    <xf numFmtId="0" fontId="59" fillId="0" borderId="0" xfId="0" applyFont="1"/>
    <xf numFmtId="0" fontId="5" fillId="0" borderId="7" xfId="0" applyFont="1" applyBorder="1" applyAlignment="1">
      <alignment horizontal="right"/>
    </xf>
    <xf numFmtId="0" fontId="54" fillId="2" borderId="7" xfId="0" applyFont="1" applyFill="1" applyBorder="1" applyAlignment="1">
      <alignment horizontal="right"/>
    </xf>
    <xf numFmtId="0" fontId="20" fillId="0" borderId="7" xfId="0" applyFont="1" applyBorder="1"/>
    <xf numFmtId="0" fontId="22" fillId="0" borderId="7" xfId="0" applyFont="1" applyBorder="1"/>
    <xf numFmtId="3" fontId="20" fillId="3" borderId="21" xfId="0" applyNumberFormat="1" applyFont="1" applyFill="1" applyBorder="1" applyAlignment="1" applyProtection="1">
      <alignment horizontal="center" vertical="center"/>
      <protection locked="0"/>
    </xf>
    <xf numFmtId="3" fontId="22" fillId="7" borderId="1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/>
    </xf>
    <xf numFmtId="3" fontId="22" fillId="2" borderId="7" xfId="0" applyNumberFormat="1" applyFont="1" applyFill="1" applyBorder="1" applyAlignment="1">
      <alignment horizontal="right"/>
    </xf>
    <xf numFmtId="0" fontId="5" fillId="0" borderId="7" xfId="0" applyFont="1" applyBorder="1" applyAlignment="1">
      <alignment horizontal="center"/>
    </xf>
    <xf numFmtId="3" fontId="49" fillId="0" borderId="0" xfId="0" applyNumberFormat="1" applyFont="1" applyAlignment="1">
      <alignment horizontal="center"/>
    </xf>
    <xf numFmtId="3" fontId="79" fillId="0" borderId="0" xfId="0" applyNumberFormat="1" applyFont="1" applyAlignment="1">
      <alignment horizontal="center"/>
    </xf>
    <xf numFmtId="3" fontId="6" fillId="5" borderId="0" xfId="0" applyNumberFormat="1" applyFont="1" applyFill="1" applyAlignment="1">
      <alignment horizontal="center"/>
    </xf>
    <xf numFmtId="0" fontId="80" fillId="0" borderId="0" xfId="0" applyFont="1" applyAlignment="1">
      <alignment horizontal="center"/>
    </xf>
    <xf numFmtId="0" fontId="0" fillId="0" borderId="0" xfId="0" applyAlignment="1">
      <alignment horizontal="left"/>
    </xf>
    <xf numFmtId="0" fontId="78" fillId="2" borderId="0" xfId="0" applyFont="1" applyFill="1" applyAlignment="1">
      <alignment vertical="center"/>
    </xf>
    <xf numFmtId="3" fontId="5" fillId="5" borderId="0" xfId="0" applyNumberFormat="1" applyFont="1" applyFill="1" applyAlignment="1">
      <alignment horizontal="right"/>
    </xf>
    <xf numFmtId="3" fontId="5" fillId="5" borderId="7" xfId="0" applyNumberFormat="1" applyFont="1" applyFill="1" applyBorder="1" applyAlignment="1">
      <alignment horizontal="right"/>
    </xf>
    <xf numFmtId="0" fontId="52" fillId="2" borderId="7" xfId="0" applyFont="1" applyFill="1" applyBorder="1"/>
    <xf numFmtId="0" fontId="53" fillId="0" borderId="0" xfId="0" applyFont="1" applyAlignment="1">
      <alignment horizontal="left"/>
    </xf>
    <xf numFmtId="3" fontId="7" fillId="0" borderId="0" xfId="0" applyNumberFormat="1" applyFont="1" applyAlignment="1">
      <alignment horizontal="left"/>
    </xf>
    <xf numFmtId="0" fontId="60" fillId="0" borderId="0" xfId="0" applyFont="1" applyAlignment="1">
      <alignment horizontal="center"/>
    </xf>
    <xf numFmtId="3" fontId="85" fillId="4" borderId="0" xfId="0" applyNumberFormat="1" applyFont="1" applyFill="1" applyAlignment="1">
      <alignment horizontal="center"/>
    </xf>
    <xf numFmtId="3" fontId="86" fillId="5" borderId="0" xfId="0" applyNumberFormat="1" applyFont="1" applyFill="1" applyAlignment="1">
      <alignment horizontal="center" vertical="center"/>
    </xf>
    <xf numFmtId="3" fontId="87" fillId="0" borderId="0" xfId="0" applyNumberFormat="1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22" fillId="0" borderId="0" xfId="0" applyFont="1"/>
    <xf numFmtId="3" fontId="22" fillId="0" borderId="0" xfId="0" applyNumberFormat="1" applyFont="1" applyAlignment="1">
      <alignment horizontal="center"/>
    </xf>
    <xf numFmtId="0" fontId="56" fillId="0" borderId="0" xfId="0" applyFont="1"/>
    <xf numFmtId="3" fontId="56" fillId="0" borderId="0" xfId="0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83" fillId="11" borderId="0" xfId="0" applyFont="1" applyFill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</cellXfs>
  <cellStyles count="2">
    <cellStyle name="Normal" xfId="0" builtinId="0"/>
    <cellStyle name="Prosent" xfId="1" builtinId="5"/>
  </cellStyles>
  <dxfs count="0"/>
  <tableStyles count="0" defaultTableStyle="TableStyleMedium2" defaultPivotStyle="PivotStyleLight16"/>
  <colors>
    <mruColors>
      <color rgb="FF9800AB"/>
      <color rgb="FFFF6532"/>
      <color rgb="FF006598"/>
      <color rgb="FF320065"/>
      <color rgb="FF0098CB"/>
      <color rgb="FFFF3B3B"/>
      <color rgb="FFD9F2FF"/>
      <color rgb="FFBDE9FF"/>
      <color rgb="FFE4C9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nb-NO" sz="1800" b="1">
                <a:latin typeface="Aptos" panose="020B0004020202020204" pitchFamily="34" charset="0"/>
              </a:rPr>
              <a:t>MARGINALSKATT</a:t>
            </a:r>
          </a:p>
          <a:p>
            <a:pPr>
              <a:defRPr>
                <a:latin typeface="Aptos" panose="020B0004020202020204" pitchFamily="34" charset="0"/>
              </a:defRPr>
            </a:pPr>
            <a:r>
              <a:rPr lang="nb-NO">
                <a:latin typeface="Aptos" panose="020B0004020202020204" pitchFamily="34" charset="0"/>
              </a:rPr>
              <a:t>Lønnsskatt</a:t>
            </a:r>
            <a:r>
              <a:rPr lang="nb-NO" baseline="0">
                <a:latin typeface="Aptos" panose="020B0004020202020204" pitchFamily="34" charset="0"/>
              </a:rPr>
              <a:t> inkl AGA vs selskaps- og utbytteskatt</a:t>
            </a:r>
            <a:endParaRPr lang="nb-NO">
              <a:latin typeface="Aptos" panose="020B00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7.3498692847725838E-2"/>
          <c:y val="0.15924497793471665"/>
          <c:w val="0.77563772270401687"/>
          <c:h val="0.7234143298252167"/>
        </c:manualLayout>
      </c:layout>
      <c:lineChart>
        <c:grouping val="standard"/>
        <c:varyColors val="0"/>
        <c:ser>
          <c:idx val="0"/>
          <c:order val="0"/>
          <c:tx>
            <c:v>Lønnsskatt inkl. AGA</c:v>
          </c:tx>
          <c:spPr>
            <a:ln w="28575" cap="rnd">
              <a:solidFill>
                <a:srgbClr val="00659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99-4570-9673-A4A2057D55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C6DAE75-468F-4913-A463-1D217A6C35BD}" type="CELLRANGE">
                      <a:rPr lang="en-US"/>
                      <a:pPr/>
                      <a:t>[CELLEOMRÅDE]</a:t>
                    </a:fld>
                    <a:endParaRPr lang="nb-N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4099-4570-9673-A4A2057D55C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348F2FD-AC81-499F-95B6-B102A9615CAA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099-4570-9673-A4A2057D55C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99-4570-9673-A4A2057D55C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9D8BB50-9560-4D55-8C78-7C72A0A33DDC}" type="CELLRANGE">
                      <a:rPr lang="en-US"/>
                      <a:pPr/>
                      <a:t>[CELLEOMRÅDE]</a:t>
                    </a:fld>
                    <a:endParaRPr lang="nb-NO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4099-4570-9673-A4A2057D55C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99-4570-9673-A4A2057D55C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1429C95-9F18-4430-A0A9-E47F82F942A1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4099-4570-9673-A4A2057D55C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106F418-1B42-4553-B693-E1268FBB2BAE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4099-4570-9673-A4A2057D55C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99-4570-9673-A4A2057D55C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99-4570-9673-A4A2057D55C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CF37CE6-32DD-4CE1-905D-F071B89C08A6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4099-4570-9673-A4A2057D55C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099-4570-9673-A4A2057D55C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0E2B563-A355-496F-805D-6EB964661759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4099-4570-9673-A4A2057D55C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099-4570-9673-A4A2057D55C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905ED35-4AD4-4B83-A7CC-6813A99DCE32}" type="CELLRANGE">
                      <a:rPr lang="nb-NO"/>
                      <a:pPr/>
                      <a:t>[CELLEOMRÅDE]</a:t>
                    </a:fld>
                    <a:endParaRPr lang="nb-NO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4099-4570-9673-A4A2057D55C7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099-4570-9673-A4A2057D55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nb-N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'Diagram marginalskatt'!$B$5:$B$20</c:f>
              <c:numCache>
                <c:formatCode>#,##0</c:formatCode>
                <c:ptCount val="16"/>
                <c:pt idx="0">
                  <c:v>99650</c:v>
                </c:pt>
                <c:pt idx="1">
                  <c:v>99651</c:v>
                </c:pt>
                <c:pt idx="2">
                  <c:v>144000</c:v>
                </c:pt>
                <c:pt idx="3">
                  <c:v>210240</c:v>
                </c:pt>
                <c:pt idx="4">
                  <c:v>210241</c:v>
                </c:pt>
                <c:pt idx="5">
                  <c:v>226100</c:v>
                </c:pt>
                <c:pt idx="6">
                  <c:v>226101</c:v>
                </c:pt>
                <c:pt idx="7">
                  <c:v>318300</c:v>
                </c:pt>
                <c:pt idx="8">
                  <c:v>318301</c:v>
                </c:pt>
                <c:pt idx="9">
                  <c:v>725050</c:v>
                </c:pt>
                <c:pt idx="10">
                  <c:v>725051</c:v>
                </c:pt>
                <c:pt idx="11">
                  <c:v>980100</c:v>
                </c:pt>
                <c:pt idx="12">
                  <c:v>980101</c:v>
                </c:pt>
                <c:pt idx="13">
                  <c:v>1467200</c:v>
                </c:pt>
                <c:pt idx="14">
                  <c:v>1467201</c:v>
                </c:pt>
                <c:pt idx="15">
                  <c:v>1600000</c:v>
                </c:pt>
              </c:numCache>
            </c:numRef>
          </c:cat>
          <c:val>
            <c:numRef>
              <c:f>'Marginalskatt diagram'!$I$16:$I$31</c:f>
              <c:numCache>
                <c:formatCode>0.00%</c:formatCode>
                <c:ptCount val="16"/>
                <c:pt idx="0">
                  <c:v>0.1235758106923751</c:v>
                </c:pt>
                <c:pt idx="1">
                  <c:v>0.12357647910752785</c:v>
                </c:pt>
                <c:pt idx="2">
                  <c:v>0.19018404907975459</c:v>
                </c:pt>
                <c:pt idx="3">
                  <c:v>0.19018404907975459</c:v>
                </c:pt>
                <c:pt idx="4">
                  <c:v>0.19018496618594055</c:v>
                </c:pt>
                <c:pt idx="5">
                  <c:v>0.20370912330059571</c:v>
                </c:pt>
                <c:pt idx="6">
                  <c:v>0.39789658194566152</c:v>
                </c:pt>
                <c:pt idx="7">
                  <c:v>0.39789658194566152</c:v>
                </c:pt>
                <c:pt idx="8">
                  <c:v>0.41805433829973715</c:v>
                </c:pt>
                <c:pt idx="9">
                  <c:v>0.41805433829973715</c:v>
                </c:pt>
                <c:pt idx="10">
                  <c:v>0.50306748466257667</c:v>
                </c:pt>
                <c:pt idx="11">
                  <c:v>0.50306748466257667</c:v>
                </c:pt>
                <c:pt idx="12">
                  <c:v>0.53023663453111314</c:v>
                </c:pt>
                <c:pt idx="13">
                  <c:v>0.53023663453111314</c:v>
                </c:pt>
                <c:pt idx="14">
                  <c:v>0.53900087642418959</c:v>
                </c:pt>
                <c:pt idx="15">
                  <c:v>0.53900087642418959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'Diagram marginalskatt'!$B$5:$B$20</c15:f>
                <c15:dlblRangeCache>
                  <c:ptCount val="16"/>
                  <c:pt idx="0">
                    <c:v>99 650</c:v>
                  </c:pt>
                  <c:pt idx="1">
                    <c:v>99 651</c:v>
                  </c:pt>
                  <c:pt idx="2">
                    <c:v>144 000</c:v>
                  </c:pt>
                  <c:pt idx="3">
                    <c:v>210 240</c:v>
                  </c:pt>
                  <c:pt idx="4">
                    <c:v>210 241</c:v>
                  </c:pt>
                  <c:pt idx="5">
                    <c:v>226 100</c:v>
                  </c:pt>
                  <c:pt idx="6">
                    <c:v>226 101</c:v>
                  </c:pt>
                  <c:pt idx="7">
                    <c:v>318 300</c:v>
                  </c:pt>
                  <c:pt idx="8">
                    <c:v>318 301</c:v>
                  </c:pt>
                  <c:pt idx="9">
                    <c:v>725 050</c:v>
                  </c:pt>
                  <c:pt idx="10">
                    <c:v>725 051</c:v>
                  </c:pt>
                  <c:pt idx="11">
                    <c:v>980 100</c:v>
                  </c:pt>
                  <c:pt idx="12">
                    <c:v>980 101</c:v>
                  </c:pt>
                  <c:pt idx="13">
                    <c:v>1 467 200</c:v>
                  </c:pt>
                  <c:pt idx="14">
                    <c:v>1 467 201</c:v>
                  </c:pt>
                  <c:pt idx="15">
                    <c:v>1 600 000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4099-4570-9673-A4A2057D55C7}"/>
            </c:ext>
          </c:extLst>
        </c:ser>
        <c:ser>
          <c:idx val="1"/>
          <c:order val="1"/>
          <c:tx>
            <c:v>Selskaps- og utbytteskatt</c:v>
          </c:tx>
          <c:spPr>
            <a:ln w="22225" cap="rnd">
              <a:solidFill>
                <a:srgbClr val="FF653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'Diagram marginalskatt'!$B$5:$B$20</c:f>
              <c:numCache>
                <c:formatCode>#,##0</c:formatCode>
                <c:ptCount val="16"/>
                <c:pt idx="0">
                  <c:v>99650</c:v>
                </c:pt>
                <c:pt idx="1">
                  <c:v>99651</c:v>
                </c:pt>
                <c:pt idx="2">
                  <c:v>144000</c:v>
                </c:pt>
                <c:pt idx="3">
                  <c:v>210240</c:v>
                </c:pt>
                <c:pt idx="4">
                  <c:v>210241</c:v>
                </c:pt>
                <c:pt idx="5">
                  <c:v>226100</c:v>
                </c:pt>
                <c:pt idx="6">
                  <c:v>226101</c:v>
                </c:pt>
                <c:pt idx="7">
                  <c:v>318300</c:v>
                </c:pt>
                <c:pt idx="8">
                  <c:v>318301</c:v>
                </c:pt>
                <c:pt idx="9">
                  <c:v>725050</c:v>
                </c:pt>
                <c:pt idx="10">
                  <c:v>725051</c:v>
                </c:pt>
                <c:pt idx="11">
                  <c:v>980100</c:v>
                </c:pt>
                <c:pt idx="12">
                  <c:v>980101</c:v>
                </c:pt>
                <c:pt idx="13">
                  <c:v>1467200</c:v>
                </c:pt>
                <c:pt idx="14">
                  <c:v>1467201</c:v>
                </c:pt>
                <c:pt idx="15">
                  <c:v>1600000</c:v>
                </c:pt>
              </c:numCache>
            </c:numRef>
          </c:cat>
          <c:val>
            <c:numRef>
              <c:f>'Marginalskatt diagram'!$J$16:$J$31</c:f>
              <c:numCache>
                <c:formatCode>0.00%</c:formatCode>
                <c:ptCount val="16"/>
                <c:pt idx="0">
                  <c:v>0.51519999999999999</c:v>
                </c:pt>
                <c:pt idx="1">
                  <c:v>0.51519999999999999</c:v>
                </c:pt>
                <c:pt idx="2">
                  <c:v>0.51519999999999999</c:v>
                </c:pt>
                <c:pt idx="3">
                  <c:v>0.51519999999999999</c:v>
                </c:pt>
                <c:pt idx="4">
                  <c:v>0.51519999999999999</c:v>
                </c:pt>
                <c:pt idx="5">
                  <c:v>0.51519999999999999</c:v>
                </c:pt>
                <c:pt idx="6">
                  <c:v>0.51519999999999999</c:v>
                </c:pt>
                <c:pt idx="7">
                  <c:v>0.51519999999999999</c:v>
                </c:pt>
                <c:pt idx="8">
                  <c:v>0.51519999999999999</c:v>
                </c:pt>
                <c:pt idx="9">
                  <c:v>0.51519999999999999</c:v>
                </c:pt>
                <c:pt idx="10">
                  <c:v>0.51519999999999999</c:v>
                </c:pt>
                <c:pt idx="11">
                  <c:v>0.51519999999999999</c:v>
                </c:pt>
                <c:pt idx="12">
                  <c:v>0.51519999999999999</c:v>
                </c:pt>
                <c:pt idx="13">
                  <c:v>0.51519999999999999</c:v>
                </c:pt>
                <c:pt idx="14">
                  <c:v>0.51519999999999999</c:v>
                </c:pt>
                <c:pt idx="15">
                  <c:v>0.51519999999999999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99-4570-9673-A4A2057D5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9771119"/>
        <c:axId val="2059772079"/>
      </c:lineChart>
      <c:dateAx>
        <c:axId val="2059771119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r>
                  <a:rPr lang="nb-NO" sz="1100" b="1">
                    <a:latin typeface="Aptos" panose="020B0004020202020204" pitchFamily="34" charset="0"/>
                  </a:rPr>
                  <a:t>Lønnsnivå</a:t>
                </a:r>
              </a:p>
            </c:rich>
          </c:tx>
          <c:layout>
            <c:manualLayout>
              <c:xMode val="edge"/>
              <c:yMode val="edge"/>
              <c:x val="0.43737636482075692"/>
              <c:y val="0.9245028888897380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ptos" panose="020B0004020202020204" pitchFamily="34" charset="0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none"/>
        <c:minorTickMark val="none"/>
        <c:tickLblPos val="nextTo"/>
        <c:crossAx val="2059772079"/>
        <c:crosses val="autoZero"/>
        <c:auto val="0"/>
        <c:lblOffset val="100"/>
        <c:baseTimeUnit val="days"/>
      </c:dateAx>
      <c:valAx>
        <c:axId val="205977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100" b="1">
                    <a:latin typeface="Aptos" panose="020B0004020202020204" pitchFamily="34" charset="0"/>
                  </a:rPr>
                  <a:t>Marginalskatt</a:t>
                </a:r>
              </a:p>
            </c:rich>
          </c:tx>
          <c:layout>
            <c:manualLayout>
              <c:xMode val="edge"/>
              <c:yMode val="edge"/>
              <c:x val="1.8055738424402022E-2"/>
              <c:y val="0.43319168698197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nb-NO"/>
          </a:p>
        </c:txPr>
        <c:crossAx val="20597711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86922913437663607"/>
          <c:y val="0.53691282898825221"/>
          <c:w val="0.12550424284522041"/>
          <c:h val="4.95234769379571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Skatt på lønnsinntekt</a:t>
            </a:r>
            <a:r>
              <a:rPr lang="nb-NO" baseline="0"/>
              <a:t> vs utbytte</a:t>
            </a:r>
            <a:endParaRPr lang="nb-N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DC9-4F8C-9F35-305792C3A2F9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7DC9-4F8C-9F35-305792C3A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907400"/>
        <c:axId val="796908712"/>
      </c:scatterChart>
      <c:valAx>
        <c:axId val="796907400"/>
        <c:scaling>
          <c:orientation val="minMax"/>
          <c:max val="2000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Årsresultat til fordeling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8712"/>
        <c:crossesAt val="0"/>
        <c:crossBetween val="midCat"/>
      </c:valAx>
      <c:valAx>
        <c:axId val="796908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Skattebeløp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7400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b="1"/>
              <a:t>Disponering av</a:t>
            </a:r>
            <a:r>
              <a:rPr lang="nb-NO" b="1" baseline="0"/>
              <a:t> lønn og utbytte i rekkefølge (fra venstre mot høyre</a:t>
            </a:r>
            <a:r>
              <a:rPr lang="nb-NO" baseline="0"/>
              <a:t>)</a:t>
            </a:r>
            <a:endParaRPr lang="nb-N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659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5A53-46F6-A388-0E054F875D83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5A53-46F6-A388-0E054F875D83}"/>
              </c:ext>
            </c:extLst>
          </c:dPt>
          <c:cat>
            <c:strRef>
              <c:f>'Lønn eller utbytte - skjerming'!$C$32:$C$33</c:f>
              <c:strCache>
                <c:ptCount val="2"/>
                <c:pt idx="0">
                  <c:v>Skatteoptimal lønn etter AGA</c:v>
                </c:pt>
                <c:pt idx="1">
                  <c:v>Skjermingsbeløp og utbytte etter selskapsskatt</c:v>
                </c:pt>
              </c:strCache>
            </c:strRef>
          </c:cat>
          <c:val>
            <c:numRef>
              <c:f>'Lønn eller utbytte - skjerming'!$D$32:$D$33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53-46F6-A388-0E054F875D83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A53-46F6-A388-0E054F875D83}"/>
              </c:ext>
            </c:extLst>
          </c:dPt>
          <c:dPt>
            <c:idx val="1"/>
            <c:invertIfNegative val="0"/>
            <c:bubble3D val="0"/>
            <c:spPr>
              <a:solidFill>
                <a:srgbClr val="9800A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5A53-46F6-A388-0E054F875D83}"/>
              </c:ext>
            </c:extLst>
          </c:dPt>
          <c:cat>
            <c:strRef>
              <c:f>'Lønn eller utbytte - skjerming'!$C$32:$C$33</c:f>
              <c:strCache>
                <c:ptCount val="2"/>
                <c:pt idx="0">
                  <c:v>Skatteoptimal lønn etter AGA</c:v>
                </c:pt>
                <c:pt idx="1">
                  <c:v>Skjermingsbeløp og utbytte etter selskapsskatt</c:v>
                </c:pt>
              </c:strCache>
            </c:strRef>
          </c:cat>
          <c:val>
            <c:numRef>
              <c:f>'Lønn eller utbytte - skjerming'!$F$32:$F$33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A53-46F6-A388-0E054F875D83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6598">
                  <a:alpha val="6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5A53-46F6-A388-0E054F875D83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A53-46F6-A388-0E054F875D83}"/>
              </c:ext>
            </c:extLst>
          </c:dPt>
          <c:cat>
            <c:strRef>
              <c:f>'Lønn eller utbytte - skjerming'!$C$32:$C$33</c:f>
              <c:strCache>
                <c:ptCount val="2"/>
                <c:pt idx="0">
                  <c:v>Skatteoptimal lønn etter AGA</c:v>
                </c:pt>
                <c:pt idx="1">
                  <c:v>Skjermingsbeløp og utbytte etter selskapsskatt</c:v>
                </c:pt>
              </c:strCache>
            </c:strRef>
          </c:cat>
          <c:val>
            <c:numRef>
              <c:f>'Lønn eller utbytte - skjerming'!$G$32:$G$33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A53-46F6-A388-0E054F875D83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A53-46F6-A388-0E054F875D83}"/>
              </c:ext>
            </c:extLst>
          </c:dPt>
          <c:dPt>
            <c:idx val="1"/>
            <c:invertIfNegative val="0"/>
            <c:bubble3D val="0"/>
            <c:spPr>
              <a:solidFill>
                <a:srgbClr val="9800AB">
                  <a:alpha val="6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A53-46F6-A388-0E054F875D83}"/>
              </c:ext>
            </c:extLst>
          </c:dPt>
          <c:cat>
            <c:strRef>
              <c:f>'Lønn eller utbytte - skjerming'!$C$32:$C$33</c:f>
              <c:strCache>
                <c:ptCount val="2"/>
                <c:pt idx="0">
                  <c:v>Skatteoptimal lønn etter AGA</c:v>
                </c:pt>
                <c:pt idx="1">
                  <c:v>Skjermingsbeløp og utbytte etter selskapsskatt</c:v>
                </c:pt>
              </c:strCache>
            </c:strRef>
          </c:cat>
          <c:val>
            <c:numRef>
              <c:f>'Lønn eller utbytte - skjerming'!$H$32:$H$33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A53-46F6-A388-0E054F875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710349503"/>
        <c:axId val="710349023"/>
      </c:barChart>
      <c:catAx>
        <c:axId val="7103495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10349023"/>
        <c:crosses val="autoZero"/>
        <c:auto val="1"/>
        <c:lblAlgn val="ctr"/>
        <c:lblOffset val="100"/>
        <c:noMultiLvlLbl val="0"/>
      </c:catAx>
      <c:valAx>
        <c:axId val="710349023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10349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b="1"/>
              <a:t>Disponering av</a:t>
            </a:r>
            <a:r>
              <a:rPr lang="nb-NO" b="1" baseline="0"/>
              <a:t> lønn og utbytte i rekkefølge (fra venstre mot høyre</a:t>
            </a:r>
            <a:r>
              <a:rPr lang="nb-NO" baseline="0"/>
              <a:t>)</a:t>
            </a:r>
            <a:endParaRPr lang="nb-N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659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20D-4CA5-BA3F-39ED1BF5627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20D-4CA5-BA3F-39ED1BF56278}"/>
              </c:ext>
            </c:extLst>
          </c:dPt>
          <c:cat>
            <c:strRef>
              <c:f>'Skattefritt utbytte'!$C$32:$C$33</c:f>
              <c:strCache>
                <c:ptCount val="2"/>
                <c:pt idx="0">
                  <c:v>Skatteoptimal lønn etter AGA</c:v>
                </c:pt>
                <c:pt idx="1">
                  <c:v>Skjermingsbeløp og utbytte etter selskapsskatt</c:v>
                </c:pt>
              </c:strCache>
            </c:strRef>
          </c:cat>
          <c:val>
            <c:numRef>
              <c:f>'Skattefritt utbytte'!$D$32:$D$33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D-4CA5-BA3F-39ED1BF56278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20D-4CA5-BA3F-39ED1BF56278}"/>
              </c:ext>
            </c:extLst>
          </c:dPt>
          <c:dPt>
            <c:idx val="1"/>
            <c:invertIfNegative val="0"/>
            <c:bubble3D val="0"/>
            <c:spPr>
              <a:solidFill>
                <a:srgbClr val="9800A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20D-4CA5-BA3F-39ED1BF56278}"/>
              </c:ext>
            </c:extLst>
          </c:dPt>
          <c:cat>
            <c:strRef>
              <c:f>'Skattefritt utbytte'!$C$32:$C$33</c:f>
              <c:strCache>
                <c:ptCount val="2"/>
                <c:pt idx="0">
                  <c:v>Skatteoptimal lønn etter AGA</c:v>
                </c:pt>
                <c:pt idx="1">
                  <c:v>Skjermingsbeløp og utbytte etter selskapsskatt</c:v>
                </c:pt>
              </c:strCache>
            </c:strRef>
          </c:cat>
          <c:val>
            <c:numRef>
              <c:f>'Skattefritt utbytte'!$F$32:$F$33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0D-4CA5-BA3F-39ED1BF56278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6598">
                  <a:alpha val="6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20D-4CA5-BA3F-39ED1BF5627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20D-4CA5-BA3F-39ED1BF56278}"/>
              </c:ext>
            </c:extLst>
          </c:dPt>
          <c:cat>
            <c:strRef>
              <c:f>'Skattefritt utbytte'!$C$32:$C$33</c:f>
              <c:strCache>
                <c:ptCount val="2"/>
                <c:pt idx="0">
                  <c:v>Skatteoptimal lønn etter AGA</c:v>
                </c:pt>
                <c:pt idx="1">
                  <c:v>Skjermingsbeløp og utbytte etter selskapsskatt</c:v>
                </c:pt>
              </c:strCache>
            </c:strRef>
          </c:cat>
          <c:val>
            <c:numRef>
              <c:f>'Skattefritt utbytte'!$G$32:$G$33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20D-4CA5-BA3F-39ED1BF56278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20D-4CA5-BA3F-39ED1BF56278}"/>
              </c:ext>
            </c:extLst>
          </c:dPt>
          <c:dPt>
            <c:idx val="1"/>
            <c:invertIfNegative val="0"/>
            <c:bubble3D val="0"/>
            <c:spPr>
              <a:solidFill>
                <a:srgbClr val="9800AB">
                  <a:alpha val="6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520D-4CA5-BA3F-39ED1BF56278}"/>
              </c:ext>
            </c:extLst>
          </c:dPt>
          <c:cat>
            <c:strRef>
              <c:f>'Skattefritt utbytte'!$C$32:$C$33</c:f>
              <c:strCache>
                <c:ptCount val="2"/>
                <c:pt idx="0">
                  <c:v>Skatteoptimal lønn etter AGA</c:v>
                </c:pt>
                <c:pt idx="1">
                  <c:v>Skjermingsbeløp og utbytte etter selskapsskatt</c:v>
                </c:pt>
              </c:strCache>
            </c:strRef>
          </c:cat>
          <c:val>
            <c:numRef>
              <c:f>'Skattefritt utbytte'!$H$32:$H$33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520D-4CA5-BA3F-39ED1BF56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710349503"/>
        <c:axId val="710349023"/>
      </c:barChart>
      <c:catAx>
        <c:axId val="7103495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10349023"/>
        <c:crosses val="autoZero"/>
        <c:auto val="1"/>
        <c:lblAlgn val="ctr"/>
        <c:lblOffset val="100"/>
        <c:noMultiLvlLbl val="0"/>
      </c:catAx>
      <c:valAx>
        <c:axId val="710349023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10349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Skatt på lønnsinntekt</a:t>
            </a:r>
            <a:r>
              <a:rPr lang="nb-NO" baseline="0"/>
              <a:t> vs utbytte</a:t>
            </a:r>
            <a:endParaRPr lang="nb-N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CE7-4F26-9480-124E4BED5AAA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0CE7-4F26-9480-124E4BED5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907400"/>
        <c:axId val="796908712"/>
      </c:scatterChart>
      <c:valAx>
        <c:axId val="796907400"/>
        <c:scaling>
          <c:orientation val="minMax"/>
          <c:max val="2000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Årsresultat til fordeling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8712"/>
        <c:crossesAt val="0"/>
        <c:crossBetween val="midCat"/>
      </c:valAx>
      <c:valAx>
        <c:axId val="796908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Skattebeløp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7400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Skatt på lønnsinntekt</a:t>
            </a:r>
            <a:r>
              <a:rPr lang="nb-NO" baseline="0"/>
              <a:t> vs utbytte</a:t>
            </a:r>
            <a:endParaRPr lang="nb-N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EFD-440E-8FD5-9928D70BEC30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BEFD-440E-8FD5-9928D70BE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907400"/>
        <c:axId val="796908712"/>
      </c:scatterChart>
      <c:valAx>
        <c:axId val="796907400"/>
        <c:scaling>
          <c:orientation val="minMax"/>
          <c:max val="2000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Årsresultat til fordeling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8712"/>
        <c:crossesAt val="0"/>
        <c:crossBetween val="midCat"/>
      </c:valAx>
      <c:valAx>
        <c:axId val="796908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Skattebeløp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7400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Skatt på lønnsinntekt</a:t>
            </a:r>
            <a:r>
              <a:rPr lang="nb-NO" baseline="0"/>
              <a:t> vs utbytte</a:t>
            </a:r>
            <a:endParaRPr lang="nb-N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9B2-4034-93F6-4550522FEA45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79B2-4034-93F6-4550522FE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907400"/>
        <c:axId val="796908712"/>
      </c:scatterChart>
      <c:valAx>
        <c:axId val="796907400"/>
        <c:scaling>
          <c:orientation val="minMax"/>
          <c:max val="2000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Årsresultat til fordeling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8712"/>
        <c:crossesAt val="0"/>
        <c:crossBetween val="midCat"/>
      </c:valAx>
      <c:valAx>
        <c:axId val="796908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Skattebeløp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7400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Skatt på lønnsinntekt</a:t>
            </a:r>
            <a:r>
              <a:rPr lang="nb-NO" baseline="0"/>
              <a:t> vs utbytte</a:t>
            </a:r>
            <a:endParaRPr lang="nb-N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9C3E-4D0D-959D-C84EF93170E4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Lønnsinntekt!#REF!</c:f>
            </c:numRef>
          </c:xVal>
          <c:yVal>
            <c:numRef>
              <c:f>Lønnsinntekt!#REF!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Lønnsinntekt!#REF!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9C3E-4D0D-959D-C84EF9317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907400"/>
        <c:axId val="796908712"/>
      </c:scatterChart>
      <c:valAx>
        <c:axId val="796907400"/>
        <c:scaling>
          <c:orientation val="minMax"/>
          <c:max val="2000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Årsresultat til fordeling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8712"/>
        <c:crossesAt val="0"/>
        <c:crossBetween val="midCat"/>
      </c:valAx>
      <c:valAx>
        <c:axId val="796908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Skattebeløp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96907400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39158</xdr:colOff>
      <xdr:row>11</xdr:row>
      <xdr:rowOff>6874</xdr:rowOff>
    </xdr:from>
    <xdr:to>
      <xdr:col>10</xdr:col>
      <xdr:colOff>209549</xdr:colOff>
      <xdr:row>34</xdr:row>
      <xdr:rowOff>169330</xdr:rowOff>
    </xdr:to>
    <xdr:grpSp>
      <xdr:nvGrpSpPr>
        <xdr:cNvPr id="4" name="Gruppe 3">
          <a:extLst>
            <a:ext uri="{FF2B5EF4-FFF2-40B4-BE49-F238E27FC236}">
              <a16:creationId xmlns:a16="http://schemas.microsoft.com/office/drawing/2014/main" id="{544F87A8-B9BC-7784-03F0-57FC07B7293C}"/>
            </a:ext>
          </a:extLst>
        </xdr:cNvPr>
        <xdr:cNvGrpSpPr/>
      </xdr:nvGrpSpPr>
      <xdr:grpSpPr>
        <a:xfrm>
          <a:off x="801158" y="2508774"/>
          <a:ext cx="14749991" cy="4582056"/>
          <a:chOff x="797086" y="2398602"/>
          <a:chExt cx="14750888" cy="4497385"/>
        </a:xfrm>
      </xdr:grpSpPr>
      <xdr:graphicFrame macro="">
        <xdr:nvGraphicFramePr>
          <xdr:cNvPr id="3" name="Diagram 2">
            <a:extLst>
              <a:ext uri="{FF2B5EF4-FFF2-40B4-BE49-F238E27FC236}">
                <a16:creationId xmlns:a16="http://schemas.microsoft.com/office/drawing/2014/main" id="{19E24651-5215-4EE5-5496-AD7F06BFAA54}"/>
              </a:ext>
            </a:extLst>
          </xdr:cNvPr>
          <xdr:cNvGraphicFramePr/>
        </xdr:nvGraphicFramePr>
        <xdr:xfrm>
          <a:off x="797086" y="2398602"/>
          <a:ext cx="14559248" cy="449738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6" name="Rett linje 5">
            <a:extLst>
              <a:ext uri="{FF2B5EF4-FFF2-40B4-BE49-F238E27FC236}">
                <a16:creationId xmlns:a16="http://schemas.microsoft.com/office/drawing/2014/main" id="{028A8DEA-2B37-4B2A-9447-7581CD45E4CD}"/>
              </a:ext>
            </a:extLst>
          </xdr:cNvPr>
          <xdr:cNvCxnSpPr/>
        </xdr:nvCxnSpPr>
        <xdr:spPr>
          <a:xfrm flipH="1">
            <a:off x="1171575" y="6731000"/>
            <a:ext cx="5767917" cy="10584"/>
          </a:xfrm>
          <a:prstGeom prst="line">
            <a:avLst/>
          </a:prstGeom>
          <a:ln>
            <a:solidFill>
              <a:schemeClr val="bg1">
                <a:lumMod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Rett linje 8">
            <a:extLst>
              <a:ext uri="{FF2B5EF4-FFF2-40B4-BE49-F238E27FC236}">
                <a16:creationId xmlns:a16="http://schemas.microsoft.com/office/drawing/2014/main" id="{9AEB728D-7B11-45D6-BC50-17E83C958398}"/>
              </a:ext>
            </a:extLst>
          </xdr:cNvPr>
          <xdr:cNvCxnSpPr/>
        </xdr:nvCxnSpPr>
        <xdr:spPr>
          <a:xfrm flipH="1" flipV="1">
            <a:off x="8007349" y="6733116"/>
            <a:ext cx="5577417" cy="11642"/>
          </a:xfrm>
          <a:prstGeom prst="line">
            <a:avLst/>
          </a:prstGeom>
          <a:ln>
            <a:solidFill>
              <a:schemeClr val="bg1">
                <a:lumMod val="50000"/>
              </a:schemeClr>
            </a:solidFill>
            <a:headEnd type="triangle" w="lg" len="lg"/>
            <a:tailEnd type="none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Rett linje 10">
            <a:extLst>
              <a:ext uri="{FF2B5EF4-FFF2-40B4-BE49-F238E27FC236}">
                <a16:creationId xmlns:a16="http://schemas.microsoft.com/office/drawing/2014/main" id="{73F0EC57-6BEC-481F-981E-9CDB5EBEDF38}"/>
              </a:ext>
            </a:extLst>
          </xdr:cNvPr>
          <xdr:cNvCxnSpPr/>
        </xdr:nvCxnSpPr>
        <xdr:spPr>
          <a:xfrm>
            <a:off x="1168717" y="3108930"/>
            <a:ext cx="0" cy="1069220"/>
          </a:xfrm>
          <a:prstGeom prst="line">
            <a:avLst/>
          </a:prstGeom>
          <a:ln>
            <a:solidFill>
              <a:schemeClr val="bg1">
                <a:lumMod val="50000"/>
              </a:schemeClr>
            </a:solidFill>
            <a:headEnd type="triangle" w="lg" len="lg"/>
            <a:tailEnd type="none" w="lg" len="lg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" name="TekstSylinder 18">
            <a:extLst>
              <a:ext uri="{FF2B5EF4-FFF2-40B4-BE49-F238E27FC236}">
                <a16:creationId xmlns:a16="http://schemas.microsoft.com/office/drawing/2014/main" id="{7DCA6566-CD28-C66B-C4D8-A2B7ADE47A1F}"/>
              </a:ext>
            </a:extLst>
          </xdr:cNvPr>
          <xdr:cNvSpPr txBox="1"/>
        </xdr:nvSpPr>
        <xdr:spPr>
          <a:xfrm>
            <a:off x="13547724" y="3326342"/>
            <a:ext cx="2000250" cy="55774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nb-NO" sz="1100">
                <a:solidFill>
                  <a:schemeClr val="accent2">
                    <a:lumMod val="75000"/>
                  </a:schemeClr>
                </a:solidFill>
                <a:latin typeface="Aptos" panose="020B0004020202020204" pitchFamily="34" charset="0"/>
              </a:rPr>
              <a:t>Selskaps-</a:t>
            </a:r>
            <a:r>
              <a:rPr lang="nb-NO" sz="1100" baseline="0">
                <a:solidFill>
                  <a:schemeClr val="accent2">
                    <a:lumMod val="75000"/>
                  </a:schemeClr>
                </a:solidFill>
                <a:latin typeface="Aptos" panose="020B0004020202020204" pitchFamily="34" charset="0"/>
              </a:rPr>
              <a:t> og utbytteskatt </a:t>
            </a:r>
          </a:p>
          <a:p>
            <a:r>
              <a:rPr lang="nb-NO" sz="1100" b="1">
                <a:solidFill>
                  <a:schemeClr val="accent2">
                    <a:lumMod val="75000"/>
                  </a:schemeClr>
                </a:solidFill>
                <a:latin typeface="Aptos" panose="020B0004020202020204" pitchFamily="34" charset="0"/>
              </a:rPr>
              <a:t>51,52%</a:t>
            </a:r>
          </a:p>
        </xdr:txBody>
      </xdr:sp>
    </xdr:grpSp>
    <xdr:clientData/>
  </xdr:twoCellAnchor>
  <xdr:twoCellAnchor>
    <xdr:from>
      <xdr:col>1</xdr:col>
      <xdr:colOff>385233</xdr:colOff>
      <xdr:row>27</xdr:row>
      <xdr:rowOff>115357</xdr:rowOff>
    </xdr:from>
    <xdr:to>
      <xdr:col>1</xdr:col>
      <xdr:colOff>403226</xdr:colOff>
      <xdr:row>33</xdr:row>
      <xdr:rowOff>177441</xdr:rowOff>
    </xdr:to>
    <xdr:cxnSp macro="">
      <xdr:nvCxnSpPr>
        <xdr:cNvPr id="5" name="Rett linje 4">
          <a:extLst>
            <a:ext uri="{FF2B5EF4-FFF2-40B4-BE49-F238E27FC236}">
              <a16:creationId xmlns:a16="http://schemas.microsoft.com/office/drawing/2014/main" id="{859D0C47-3402-9C01-DBAD-7AB701EEC874}"/>
            </a:ext>
          </a:extLst>
        </xdr:cNvPr>
        <xdr:cNvCxnSpPr/>
      </xdr:nvCxnSpPr>
      <xdr:spPr>
        <a:xfrm>
          <a:off x="1147233" y="5692774"/>
          <a:ext cx="17993" cy="1141584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0.64801</cdr:x>
      <cdr:y>0.22574</cdr:y>
    </cdr:from>
    <cdr:to>
      <cdr:x>0.64801</cdr:x>
      <cdr:y>0.81013</cdr:y>
    </cdr:to>
    <cdr:cxnSp macro="">
      <cdr:nvCxnSpPr>
        <cdr:cNvPr id="5" name="Rett linje 4">
          <a:extLst xmlns:a="http://schemas.openxmlformats.org/drawingml/2006/main">
            <a:ext uri="{FF2B5EF4-FFF2-40B4-BE49-F238E27FC236}">
              <a16:creationId xmlns:a16="http://schemas.microsoft.com/office/drawing/2014/main" id="{66B84651-51EF-329D-B805-80B8251947FA}"/>
            </a:ext>
          </a:extLst>
        </cdr:cNvPr>
        <cdr:cNvCxnSpPr/>
      </cdr:nvCxnSpPr>
      <cdr:spPr>
        <a:xfrm xmlns:a="http://schemas.openxmlformats.org/drawingml/2006/main" flipH="1">
          <a:off x="4962525" y="1019175"/>
          <a:ext cx="0" cy="263842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2">
              <a:lumMod val="50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0.53607</cdr:x>
      <cdr:y>0.14979</cdr:y>
    </cdr:from>
    <cdr:to>
      <cdr:x>0.75124</cdr:x>
      <cdr:y>0.22574</cdr:y>
    </cdr:to>
    <cdr:sp macro="" textlink="">
      <cdr:nvSpPr>
        <cdr:cNvPr id="6" name="TekstSylinder 5">
          <a:extLst xmlns:a="http://schemas.openxmlformats.org/drawingml/2006/main">
            <a:ext uri="{FF2B5EF4-FFF2-40B4-BE49-F238E27FC236}">
              <a16:creationId xmlns:a16="http://schemas.microsoft.com/office/drawing/2014/main" id="{F3788FF4-8B17-34B9-2546-28238B21D937}"/>
            </a:ext>
          </a:extLst>
        </cdr:cNvPr>
        <cdr:cNvSpPr txBox="1"/>
      </cdr:nvSpPr>
      <cdr:spPr>
        <a:xfrm xmlns:a="http://schemas.openxmlformats.org/drawingml/2006/main">
          <a:off x="4105275" y="676275"/>
          <a:ext cx="16478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nb-NO" sz="1600"/>
            <a:t>1 263 717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133350</xdr:rowOff>
    </xdr:from>
    <xdr:to>
      <xdr:col>6</xdr:col>
      <xdr:colOff>0</xdr:colOff>
      <xdr:row>37</xdr:row>
      <xdr:rowOff>66675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469E56F6-FD70-44DD-A95F-AA731A2CC1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0.64801</cdr:x>
      <cdr:y>0.22574</cdr:y>
    </cdr:from>
    <cdr:to>
      <cdr:x>0.64801</cdr:x>
      <cdr:y>0.81013</cdr:y>
    </cdr:to>
    <cdr:cxnSp macro="">
      <cdr:nvCxnSpPr>
        <cdr:cNvPr id="5" name="Rett linje 4">
          <a:extLst xmlns:a="http://schemas.openxmlformats.org/drawingml/2006/main">
            <a:ext uri="{FF2B5EF4-FFF2-40B4-BE49-F238E27FC236}">
              <a16:creationId xmlns:a16="http://schemas.microsoft.com/office/drawing/2014/main" id="{66B84651-51EF-329D-B805-80B8251947FA}"/>
            </a:ext>
          </a:extLst>
        </cdr:cNvPr>
        <cdr:cNvCxnSpPr/>
      </cdr:nvCxnSpPr>
      <cdr:spPr>
        <a:xfrm xmlns:a="http://schemas.openxmlformats.org/drawingml/2006/main" flipH="1">
          <a:off x="4962525" y="1019175"/>
          <a:ext cx="0" cy="263842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2">
              <a:lumMod val="50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0.53607</cdr:x>
      <cdr:y>0.14979</cdr:y>
    </cdr:from>
    <cdr:to>
      <cdr:x>0.75124</cdr:x>
      <cdr:y>0.22574</cdr:y>
    </cdr:to>
    <cdr:sp macro="" textlink="">
      <cdr:nvSpPr>
        <cdr:cNvPr id="6" name="TekstSylinder 5">
          <a:extLst xmlns:a="http://schemas.openxmlformats.org/drawingml/2006/main">
            <a:ext uri="{FF2B5EF4-FFF2-40B4-BE49-F238E27FC236}">
              <a16:creationId xmlns:a16="http://schemas.microsoft.com/office/drawing/2014/main" id="{F3788FF4-8B17-34B9-2546-28238B21D937}"/>
            </a:ext>
          </a:extLst>
        </cdr:cNvPr>
        <cdr:cNvSpPr txBox="1"/>
      </cdr:nvSpPr>
      <cdr:spPr>
        <a:xfrm xmlns:a="http://schemas.openxmlformats.org/drawingml/2006/main">
          <a:off x="4105275" y="676275"/>
          <a:ext cx="16478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nb-NO" sz="1600"/>
            <a:t>1 263 717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133350</xdr:rowOff>
    </xdr:from>
    <xdr:to>
      <xdr:col>6</xdr:col>
      <xdr:colOff>0</xdr:colOff>
      <xdr:row>37</xdr:row>
      <xdr:rowOff>66675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74D3158-8859-4EA5-A925-5E72C9270F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0.64801</cdr:x>
      <cdr:y>0.22574</cdr:y>
    </cdr:from>
    <cdr:to>
      <cdr:x>0.64801</cdr:x>
      <cdr:y>0.81013</cdr:y>
    </cdr:to>
    <cdr:cxnSp macro="">
      <cdr:nvCxnSpPr>
        <cdr:cNvPr id="5" name="Rett linje 4">
          <a:extLst xmlns:a="http://schemas.openxmlformats.org/drawingml/2006/main">
            <a:ext uri="{FF2B5EF4-FFF2-40B4-BE49-F238E27FC236}">
              <a16:creationId xmlns:a16="http://schemas.microsoft.com/office/drawing/2014/main" id="{66B84651-51EF-329D-B805-80B8251947FA}"/>
            </a:ext>
          </a:extLst>
        </cdr:cNvPr>
        <cdr:cNvCxnSpPr/>
      </cdr:nvCxnSpPr>
      <cdr:spPr>
        <a:xfrm xmlns:a="http://schemas.openxmlformats.org/drawingml/2006/main" flipH="1">
          <a:off x="4962525" y="1019175"/>
          <a:ext cx="0" cy="263842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2">
              <a:lumMod val="50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0.53607</cdr:x>
      <cdr:y>0.14979</cdr:y>
    </cdr:from>
    <cdr:to>
      <cdr:x>0.75124</cdr:x>
      <cdr:y>0.22574</cdr:y>
    </cdr:to>
    <cdr:sp macro="" textlink="">
      <cdr:nvSpPr>
        <cdr:cNvPr id="6" name="TekstSylinder 5">
          <a:extLst xmlns:a="http://schemas.openxmlformats.org/drawingml/2006/main">
            <a:ext uri="{FF2B5EF4-FFF2-40B4-BE49-F238E27FC236}">
              <a16:creationId xmlns:a16="http://schemas.microsoft.com/office/drawing/2014/main" id="{F3788FF4-8B17-34B9-2546-28238B21D937}"/>
            </a:ext>
          </a:extLst>
        </cdr:cNvPr>
        <cdr:cNvSpPr txBox="1"/>
      </cdr:nvSpPr>
      <cdr:spPr>
        <a:xfrm xmlns:a="http://schemas.openxmlformats.org/drawingml/2006/main">
          <a:off x="4105275" y="676275"/>
          <a:ext cx="16478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nb-NO" sz="1600"/>
            <a:t>1 263 717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133350</xdr:rowOff>
    </xdr:from>
    <xdr:to>
      <xdr:col>15</xdr:col>
      <xdr:colOff>0</xdr:colOff>
      <xdr:row>40</xdr:row>
      <xdr:rowOff>66675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D777D3B-17AB-F78A-B6CA-907C324C9E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258762</xdr:colOff>
      <xdr:row>19</xdr:row>
      <xdr:rowOff>107155</xdr:rowOff>
    </xdr:from>
    <xdr:to>
      <xdr:col>4</xdr:col>
      <xdr:colOff>675481</xdr:colOff>
      <xdr:row>19</xdr:row>
      <xdr:rowOff>107155</xdr:rowOff>
    </xdr:to>
    <xdr:cxnSp macro="">
      <xdr:nvCxnSpPr>
        <xdr:cNvPr id="15" name="Rett linje 14">
          <a:extLst>
            <a:ext uri="{FF2B5EF4-FFF2-40B4-BE49-F238E27FC236}">
              <a16:creationId xmlns:a16="http://schemas.microsoft.com/office/drawing/2014/main" id="{C670FFEF-F24E-9281-AF05-F9C0D364B786}"/>
            </a:ext>
          </a:extLst>
        </xdr:cNvPr>
        <xdr:cNvCxnSpPr/>
      </xdr:nvCxnSpPr>
      <xdr:spPr>
        <a:xfrm flipH="1">
          <a:off x="4842668" y="4833936"/>
          <a:ext cx="41671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258763</xdr:colOff>
      <xdr:row>18</xdr:row>
      <xdr:rowOff>122237</xdr:rowOff>
    </xdr:from>
    <xdr:to>
      <xdr:col>4</xdr:col>
      <xdr:colOff>258763</xdr:colOff>
      <xdr:row>19</xdr:row>
      <xdr:rowOff>101969</xdr:rowOff>
    </xdr:to>
    <xdr:cxnSp macro="">
      <xdr:nvCxnSpPr>
        <xdr:cNvPr id="18" name="Rett linje 17">
          <a:extLst>
            <a:ext uri="{FF2B5EF4-FFF2-40B4-BE49-F238E27FC236}">
              <a16:creationId xmlns:a16="http://schemas.microsoft.com/office/drawing/2014/main" id="{448A8FC9-A785-843A-16A7-02DF877E371B}"/>
            </a:ext>
          </a:extLst>
        </xdr:cNvPr>
        <xdr:cNvCxnSpPr/>
      </xdr:nvCxnSpPr>
      <xdr:spPr>
        <a:xfrm>
          <a:off x="4842669" y="4634706"/>
          <a:ext cx="0" cy="19404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87443</xdr:colOff>
      <xdr:row>18</xdr:row>
      <xdr:rowOff>113243</xdr:rowOff>
    </xdr:from>
    <xdr:to>
      <xdr:col>4</xdr:col>
      <xdr:colOff>257225</xdr:colOff>
      <xdr:row>18</xdr:row>
      <xdr:rowOff>113243</xdr:rowOff>
    </xdr:to>
    <xdr:cxnSp macro="">
      <xdr:nvCxnSpPr>
        <xdr:cNvPr id="20" name="Rett pilkobling 19">
          <a:extLst>
            <a:ext uri="{FF2B5EF4-FFF2-40B4-BE49-F238E27FC236}">
              <a16:creationId xmlns:a16="http://schemas.microsoft.com/office/drawing/2014/main" id="{69900A41-70F9-7085-DB53-FEB8319199FF}"/>
            </a:ext>
          </a:extLst>
        </xdr:cNvPr>
        <xdr:cNvCxnSpPr/>
      </xdr:nvCxnSpPr>
      <xdr:spPr>
        <a:xfrm flipH="1" flipV="1">
          <a:off x="4445131" y="4625712"/>
          <a:ext cx="3960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155305</xdr:colOff>
      <xdr:row>26</xdr:row>
      <xdr:rowOff>126465</xdr:rowOff>
    </xdr:from>
    <xdr:to>
      <xdr:col>4</xdr:col>
      <xdr:colOff>325087</xdr:colOff>
      <xdr:row>26</xdr:row>
      <xdr:rowOff>126465</xdr:rowOff>
    </xdr:to>
    <xdr:cxnSp macro="">
      <xdr:nvCxnSpPr>
        <xdr:cNvPr id="21" name="Rett linje 20">
          <a:extLst>
            <a:ext uri="{FF2B5EF4-FFF2-40B4-BE49-F238E27FC236}">
              <a16:creationId xmlns:a16="http://schemas.microsoft.com/office/drawing/2014/main" id="{3459C835-6EA4-4650-A9BE-9A63AF7184F8}"/>
            </a:ext>
          </a:extLst>
        </xdr:cNvPr>
        <xdr:cNvCxnSpPr/>
      </xdr:nvCxnSpPr>
      <xdr:spPr>
        <a:xfrm flipH="1" flipV="1">
          <a:off x="4512993" y="6377246"/>
          <a:ext cx="396000" cy="0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321470</xdr:colOff>
      <xdr:row>23</xdr:row>
      <xdr:rowOff>142874</xdr:rowOff>
    </xdr:from>
    <xdr:to>
      <xdr:col>4</xdr:col>
      <xdr:colOff>321470</xdr:colOff>
      <xdr:row>26</xdr:row>
      <xdr:rowOff>114106</xdr:rowOff>
    </xdr:to>
    <xdr:cxnSp macro="">
      <xdr:nvCxnSpPr>
        <xdr:cNvPr id="22" name="Rett linje 21">
          <a:extLst>
            <a:ext uri="{FF2B5EF4-FFF2-40B4-BE49-F238E27FC236}">
              <a16:creationId xmlns:a16="http://schemas.microsoft.com/office/drawing/2014/main" id="{9AE2928C-4BBF-4D36-BCA5-1AF6885135CE}"/>
            </a:ext>
          </a:extLst>
        </xdr:cNvPr>
        <xdr:cNvCxnSpPr/>
      </xdr:nvCxnSpPr>
      <xdr:spPr>
        <a:xfrm>
          <a:off x="4905376" y="5738812"/>
          <a:ext cx="0" cy="626075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322290</xdr:colOff>
      <xdr:row>23</xdr:row>
      <xdr:rowOff>139963</xdr:rowOff>
    </xdr:from>
    <xdr:to>
      <xdr:col>4</xdr:col>
      <xdr:colOff>682290</xdr:colOff>
      <xdr:row>23</xdr:row>
      <xdr:rowOff>139964</xdr:rowOff>
    </xdr:to>
    <xdr:cxnSp macro="">
      <xdr:nvCxnSpPr>
        <xdr:cNvPr id="25" name="Rett pilkobling 24">
          <a:extLst>
            <a:ext uri="{FF2B5EF4-FFF2-40B4-BE49-F238E27FC236}">
              <a16:creationId xmlns:a16="http://schemas.microsoft.com/office/drawing/2014/main" id="{063762A9-BB04-4086-8492-24839A806EF5}"/>
            </a:ext>
          </a:extLst>
        </xdr:cNvPr>
        <xdr:cNvCxnSpPr/>
      </xdr:nvCxnSpPr>
      <xdr:spPr>
        <a:xfrm>
          <a:off x="4906196" y="5735901"/>
          <a:ext cx="360000" cy="1"/>
        </a:xfrm>
        <a:prstGeom prst="straightConnector1">
          <a:avLst/>
        </a:prstGeom>
        <a:ln>
          <a:solidFill>
            <a:srgbClr val="32006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74082</xdr:colOff>
      <xdr:row>20</xdr:row>
      <xdr:rowOff>86519</xdr:rowOff>
    </xdr:from>
    <xdr:to>
      <xdr:col>8</xdr:col>
      <xdr:colOff>181768</xdr:colOff>
      <xdr:row>20</xdr:row>
      <xdr:rowOff>86519</xdr:rowOff>
    </xdr:to>
    <xdr:cxnSp macro="">
      <xdr:nvCxnSpPr>
        <xdr:cNvPr id="9" name="Rett linje 8">
          <a:extLst>
            <a:ext uri="{FF2B5EF4-FFF2-40B4-BE49-F238E27FC236}">
              <a16:creationId xmlns:a16="http://schemas.microsoft.com/office/drawing/2014/main" id="{7425D6F4-7E18-4734-BD9E-091E5F70293A}"/>
            </a:ext>
          </a:extLst>
        </xdr:cNvPr>
        <xdr:cNvCxnSpPr/>
      </xdr:nvCxnSpPr>
      <xdr:spPr>
        <a:xfrm flipH="1">
          <a:off x="10825426" y="5051425"/>
          <a:ext cx="33390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188120</xdr:colOff>
      <xdr:row>9</xdr:row>
      <xdr:rowOff>150020</xdr:rowOff>
    </xdr:from>
    <xdr:to>
      <xdr:col>8</xdr:col>
      <xdr:colOff>188121</xdr:colOff>
      <xdr:row>20</xdr:row>
      <xdr:rowOff>83344</xdr:rowOff>
    </xdr:to>
    <xdr:cxnSp macro="">
      <xdr:nvCxnSpPr>
        <xdr:cNvPr id="50" name="Rett linje 49">
          <a:extLst>
            <a:ext uri="{FF2B5EF4-FFF2-40B4-BE49-F238E27FC236}">
              <a16:creationId xmlns:a16="http://schemas.microsoft.com/office/drawing/2014/main" id="{BC18AB95-44E1-4B2E-8E6C-3DC51EE780AA}"/>
            </a:ext>
          </a:extLst>
        </xdr:cNvPr>
        <xdr:cNvCxnSpPr/>
      </xdr:nvCxnSpPr>
      <xdr:spPr>
        <a:xfrm flipH="1">
          <a:off x="11165683" y="2638426"/>
          <a:ext cx="1" cy="24098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188118</xdr:colOff>
      <xdr:row>9</xdr:row>
      <xdr:rowOff>150018</xdr:rowOff>
    </xdr:from>
    <xdr:to>
      <xdr:col>8</xdr:col>
      <xdr:colOff>620118</xdr:colOff>
      <xdr:row>9</xdr:row>
      <xdr:rowOff>150019</xdr:rowOff>
    </xdr:to>
    <xdr:cxnSp macro="">
      <xdr:nvCxnSpPr>
        <xdr:cNvPr id="57" name="Rett pilkobling 56">
          <a:extLst>
            <a:ext uri="{FF2B5EF4-FFF2-40B4-BE49-F238E27FC236}">
              <a16:creationId xmlns:a16="http://schemas.microsoft.com/office/drawing/2014/main" id="{7442B115-1119-4243-B923-7FDA7D56691F}"/>
            </a:ext>
          </a:extLst>
        </xdr:cNvPr>
        <xdr:cNvCxnSpPr/>
      </xdr:nvCxnSpPr>
      <xdr:spPr>
        <a:xfrm flipV="1">
          <a:off x="11165681" y="2638424"/>
          <a:ext cx="43200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77787</xdr:colOff>
      <xdr:row>24</xdr:row>
      <xdr:rowOff>95250</xdr:rowOff>
    </xdr:from>
    <xdr:to>
      <xdr:col>8</xdr:col>
      <xdr:colOff>174095</xdr:colOff>
      <xdr:row>24</xdr:row>
      <xdr:rowOff>95251</xdr:rowOff>
    </xdr:to>
    <xdr:cxnSp macro="">
      <xdr:nvCxnSpPr>
        <xdr:cNvPr id="61" name="Rett linje 60">
          <a:extLst>
            <a:ext uri="{FF2B5EF4-FFF2-40B4-BE49-F238E27FC236}">
              <a16:creationId xmlns:a16="http://schemas.microsoft.com/office/drawing/2014/main" id="{71CE23B3-862E-4E9C-ADBE-841A6684D917}"/>
            </a:ext>
          </a:extLst>
        </xdr:cNvPr>
        <xdr:cNvCxnSpPr/>
      </xdr:nvCxnSpPr>
      <xdr:spPr>
        <a:xfrm flipH="1">
          <a:off x="10829131" y="5929313"/>
          <a:ext cx="322527" cy="1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190499</xdr:colOff>
      <xdr:row>24</xdr:row>
      <xdr:rowOff>95249</xdr:rowOff>
    </xdr:from>
    <xdr:to>
      <xdr:col>8</xdr:col>
      <xdr:colOff>190499</xdr:colOff>
      <xdr:row>31</xdr:row>
      <xdr:rowOff>120743</xdr:rowOff>
    </xdr:to>
    <xdr:cxnSp macro="">
      <xdr:nvCxnSpPr>
        <xdr:cNvPr id="63" name="Rett linje 62">
          <a:extLst>
            <a:ext uri="{FF2B5EF4-FFF2-40B4-BE49-F238E27FC236}">
              <a16:creationId xmlns:a16="http://schemas.microsoft.com/office/drawing/2014/main" id="{A5BA3F20-6896-48AA-A661-BB976DDB2EEF}"/>
            </a:ext>
          </a:extLst>
        </xdr:cNvPr>
        <xdr:cNvCxnSpPr/>
      </xdr:nvCxnSpPr>
      <xdr:spPr>
        <a:xfrm>
          <a:off x="11168062" y="5929312"/>
          <a:ext cx="0" cy="1501869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202431</xdr:colOff>
      <xdr:row>31</xdr:row>
      <xdr:rowOff>119324</xdr:rowOff>
    </xdr:from>
    <xdr:to>
      <xdr:col>8</xdr:col>
      <xdr:colOff>640781</xdr:colOff>
      <xdr:row>31</xdr:row>
      <xdr:rowOff>119325</xdr:rowOff>
    </xdr:to>
    <xdr:cxnSp macro="">
      <xdr:nvCxnSpPr>
        <xdr:cNvPr id="64" name="Rett pilkobling 63">
          <a:extLst>
            <a:ext uri="{FF2B5EF4-FFF2-40B4-BE49-F238E27FC236}">
              <a16:creationId xmlns:a16="http://schemas.microsoft.com/office/drawing/2014/main" id="{F3149EFD-6D58-4B05-99D3-2C969B8DB8BE}"/>
            </a:ext>
          </a:extLst>
        </xdr:cNvPr>
        <xdr:cNvCxnSpPr/>
      </xdr:nvCxnSpPr>
      <xdr:spPr>
        <a:xfrm>
          <a:off x="11179994" y="7429762"/>
          <a:ext cx="438350" cy="1"/>
        </a:xfrm>
        <a:prstGeom prst="straightConnector1">
          <a:avLst/>
        </a:prstGeom>
        <a:ln>
          <a:solidFill>
            <a:srgbClr val="32006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508000</xdr:colOff>
      <xdr:row>0</xdr:row>
      <xdr:rowOff>158750</xdr:rowOff>
    </xdr:from>
    <xdr:to>
      <xdr:col>16</xdr:col>
      <xdr:colOff>508000</xdr:colOff>
      <xdr:row>40</xdr:row>
      <xdr:rowOff>112000</xdr:rowOff>
    </xdr:to>
    <xdr:cxnSp macro="">
      <xdr:nvCxnSpPr>
        <xdr:cNvPr id="67" name="Rett linje 66">
          <a:extLst>
            <a:ext uri="{FF2B5EF4-FFF2-40B4-BE49-F238E27FC236}">
              <a16:creationId xmlns:a16="http://schemas.microsoft.com/office/drawing/2014/main" id="{E1D657BD-2A15-E6AB-6EB8-61E114571BC0}"/>
            </a:ext>
          </a:extLst>
        </xdr:cNvPr>
        <xdr:cNvCxnSpPr/>
      </xdr:nvCxnSpPr>
      <xdr:spPr>
        <a:xfrm>
          <a:off x="20468167" y="158750"/>
          <a:ext cx="0" cy="8748000"/>
        </a:xfrm>
        <a:prstGeom prst="line">
          <a:avLst/>
        </a:prstGeom>
        <a:ln w="38100">
          <a:solidFill>
            <a:schemeClr val="bg1">
              <a:lumMod val="65000"/>
            </a:schemeClr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768217</xdr:colOff>
      <xdr:row>19</xdr:row>
      <xdr:rowOff>115092</xdr:rowOff>
    </xdr:from>
    <xdr:to>
      <xdr:col>5</xdr:col>
      <xdr:colOff>2592785</xdr:colOff>
      <xdr:row>19</xdr:row>
      <xdr:rowOff>115092</xdr:rowOff>
    </xdr:to>
    <xdr:cxnSp macro="">
      <xdr:nvCxnSpPr>
        <xdr:cNvPr id="3" name="Rett linje 2">
          <a:extLst>
            <a:ext uri="{FF2B5EF4-FFF2-40B4-BE49-F238E27FC236}">
              <a16:creationId xmlns:a16="http://schemas.microsoft.com/office/drawing/2014/main" id="{CCFA7194-35A0-4CF8-830D-2445BF1FF10C}"/>
            </a:ext>
          </a:extLst>
        </xdr:cNvPr>
        <xdr:cNvCxnSpPr/>
      </xdr:nvCxnSpPr>
      <xdr:spPr>
        <a:xfrm flipH="1" flipV="1">
          <a:off x="6102217" y="3954858"/>
          <a:ext cx="182456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2600457</xdr:colOff>
      <xdr:row>19</xdr:row>
      <xdr:rowOff>115492</xdr:rowOff>
    </xdr:from>
    <xdr:to>
      <xdr:col>5</xdr:col>
      <xdr:colOff>2600457</xdr:colOff>
      <xdr:row>20</xdr:row>
      <xdr:rowOff>109141</xdr:rowOff>
    </xdr:to>
    <xdr:cxnSp macro="">
      <xdr:nvCxnSpPr>
        <xdr:cNvPr id="5" name="Rett linje 4">
          <a:extLst>
            <a:ext uri="{FF2B5EF4-FFF2-40B4-BE49-F238E27FC236}">
              <a16:creationId xmlns:a16="http://schemas.microsoft.com/office/drawing/2014/main" id="{383B6F7F-14E7-4C5D-B12E-F8505ACDB5D3}"/>
            </a:ext>
          </a:extLst>
        </xdr:cNvPr>
        <xdr:cNvCxnSpPr/>
      </xdr:nvCxnSpPr>
      <xdr:spPr>
        <a:xfrm flipH="1">
          <a:off x="7934457" y="3955258"/>
          <a:ext cx="0" cy="21986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2595166</xdr:colOff>
      <xdr:row>20</xdr:row>
      <xdr:rowOff>104775</xdr:rowOff>
    </xdr:from>
    <xdr:to>
      <xdr:col>5</xdr:col>
      <xdr:colOff>2873243</xdr:colOff>
      <xdr:row>20</xdr:row>
      <xdr:rowOff>104775</xdr:rowOff>
    </xdr:to>
    <xdr:cxnSp macro="">
      <xdr:nvCxnSpPr>
        <xdr:cNvPr id="11" name="Rett pilkobling 10">
          <a:extLst>
            <a:ext uri="{FF2B5EF4-FFF2-40B4-BE49-F238E27FC236}">
              <a16:creationId xmlns:a16="http://schemas.microsoft.com/office/drawing/2014/main" id="{235E8F66-68C2-4F6F-B295-B931EF996C1F}"/>
            </a:ext>
          </a:extLst>
        </xdr:cNvPr>
        <xdr:cNvCxnSpPr/>
      </xdr:nvCxnSpPr>
      <xdr:spPr>
        <a:xfrm flipV="1">
          <a:off x="7929166" y="4170759"/>
          <a:ext cx="27807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0.64801</cdr:x>
      <cdr:y>0.22574</cdr:y>
    </cdr:from>
    <cdr:to>
      <cdr:x>0.64801</cdr:x>
      <cdr:y>0.81013</cdr:y>
    </cdr:to>
    <cdr:cxnSp macro="">
      <cdr:nvCxnSpPr>
        <cdr:cNvPr id="5" name="Rett linje 4">
          <a:extLst xmlns:a="http://schemas.openxmlformats.org/drawingml/2006/main">
            <a:ext uri="{FF2B5EF4-FFF2-40B4-BE49-F238E27FC236}">
              <a16:creationId xmlns:a16="http://schemas.microsoft.com/office/drawing/2014/main" id="{66B84651-51EF-329D-B805-80B8251947FA}"/>
            </a:ext>
          </a:extLst>
        </cdr:cNvPr>
        <cdr:cNvCxnSpPr/>
      </cdr:nvCxnSpPr>
      <cdr:spPr>
        <a:xfrm xmlns:a="http://schemas.openxmlformats.org/drawingml/2006/main" flipH="1">
          <a:off x="4962525" y="1019175"/>
          <a:ext cx="0" cy="263842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2">
              <a:lumMod val="50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0.53607</cdr:x>
      <cdr:y>0.14979</cdr:y>
    </cdr:from>
    <cdr:to>
      <cdr:x>0.75124</cdr:x>
      <cdr:y>0.22574</cdr:y>
    </cdr:to>
    <cdr:sp macro="" textlink="">
      <cdr:nvSpPr>
        <cdr:cNvPr id="6" name="TekstSylinder 5">
          <a:extLst xmlns:a="http://schemas.openxmlformats.org/drawingml/2006/main">
            <a:ext uri="{FF2B5EF4-FFF2-40B4-BE49-F238E27FC236}">
              <a16:creationId xmlns:a16="http://schemas.microsoft.com/office/drawing/2014/main" id="{F3788FF4-8B17-34B9-2546-28238B21D937}"/>
            </a:ext>
          </a:extLst>
        </cdr:cNvPr>
        <cdr:cNvSpPr txBox="1"/>
      </cdr:nvSpPr>
      <cdr:spPr>
        <a:xfrm xmlns:a="http://schemas.openxmlformats.org/drawingml/2006/main">
          <a:off x="4105275" y="676275"/>
          <a:ext cx="16478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nb-NO" sz="1600"/>
            <a:t>1 263 717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229655</xdr:colOff>
      <xdr:row>30</xdr:row>
      <xdr:rowOff>102658</xdr:rowOff>
    </xdr:from>
    <xdr:to>
      <xdr:col>9</xdr:col>
      <xdr:colOff>335490</xdr:colOff>
      <xdr:row>37</xdr:row>
      <xdr:rowOff>134407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1F083F5-00AD-75E8-EA53-3B818BA318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1343025</xdr:colOff>
      <xdr:row>10</xdr:row>
      <xdr:rowOff>131233</xdr:rowOff>
    </xdr:from>
    <xdr:to>
      <xdr:col>4</xdr:col>
      <xdr:colOff>648759</xdr:colOff>
      <xdr:row>10</xdr:row>
      <xdr:rowOff>131233</xdr:rowOff>
    </xdr:to>
    <xdr:cxnSp macro="">
      <xdr:nvCxnSpPr>
        <xdr:cNvPr id="4" name="Rett linje 3">
          <a:extLst>
            <a:ext uri="{FF2B5EF4-FFF2-40B4-BE49-F238E27FC236}">
              <a16:creationId xmlns:a16="http://schemas.microsoft.com/office/drawing/2014/main" id="{D0ACED79-F6C8-7F4B-3A70-F60A4316BCDA}"/>
            </a:ext>
          </a:extLst>
        </xdr:cNvPr>
        <xdr:cNvCxnSpPr/>
      </xdr:nvCxnSpPr>
      <xdr:spPr>
        <a:xfrm>
          <a:off x="6126692" y="2512483"/>
          <a:ext cx="649817" cy="0"/>
        </a:xfrm>
        <a:prstGeom prst="line">
          <a:avLst/>
        </a:prstGeom>
        <a:ln>
          <a:solidFill>
            <a:srgbClr val="0065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648758</xdr:colOff>
      <xdr:row>10</xdr:row>
      <xdr:rowOff>132290</xdr:rowOff>
    </xdr:from>
    <xdr:to>
      <xdr:col>4</xdr:col>
      <xdr:colOff>648758</xdr:colOff>
      <xdr:row>18</xdr:row>
      <xdr:rowOff>107623</xdr:rowOff>
    </xdr:to>
    <xdr:cxnSp macro="">
      <xdr:nvCxnSpPr>
        <xdr:cNvPr id="5" name="Rett linje 4">
          <a:extLst>
            <a:ext uri="{FF2B5EF4-FFF2-40B4-BE49-F238E27FC236}">
              <a16:creationId xmlns:a16="http://schemas.microsoft.com/office/drawing/2014/main" id="{1644DD6D-0364-409D-95BF-784A4CEFF9AE}"/>
            </a:ext>
          </a:extLst>
        </xdr:cNvPr>
        <xdr:cNvCxnSpPr/>
      </xdr:nvCxnSpPr>
      <xdr:spPr>
        <a:xfrm flipV="1">
          <a:off x="6776508" y="2513540"/>
          <a:ext cx="0" cy="1584000"/>
        </a:xfrm>
        <a:prstGeom prst="line">
          <a:avLst/>
        </a:prstGeom>
        <a:ln>
          <a:solidFill>
            <a:srgbClr val="0065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648759</xdr:colOff>
      <xdr:row>18</xdr:row>
      <xdr:rowOff>101600</xdr:rowOff>
    </xdr:from>
    <xdr:to>
      <xdr:col>5</xdr:col>
      <xdr:colOff>25400</xdr:colOff>
      <xdr:row>18</xdr:row>
      <xdr:rowOff>101600</xdr:rowOff>
    </xdr:to>
    <xdr:cxnSp macro="">
      <xdr:nvCxnSpPr>
        <xdr:cNvPr id="12" name="Rett linje 11">
          <a:extLst>
            <a:ext uri="{FF2B5EF4-FFF2-40B4-BE49-F238E27FC236}">
              <a16:creationId xmlns:a16="http://schemas.microsoft.com/office/drawing/2014/main" id="{FC1219F5-9138-495D-8152-E6CFB953C65A}"/>
            </a:ext>
          </a:extLst>
        </xdr:cNvPr>
        <xdr:cNvCxnSpPr/>
      </xdr:nvCxnSpPr>
      <xdr:spPr>
        <a:xfrm>
          <a:off x="6776509" y="4091517"/>
          <a:ext cx="509058" cy="0"/>
        </a:xfrm>
        <a:prstGeom prst="line">
          <a:avLst/>
        </a:prstGeom>
        <a:ln>
          <a:solidFill>
            <a:srgbClr val="006598"/>
          </a:solidFill>
          <a:tailEnd type="triangle" w="med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2107</xdr:colOff>
      <xdr:row>7</xdr:row>
      <xdr:rowOff>131233</xdr:rowOff>
    </xdr:from>
    <xdr:to>
      <xdr:col>8</xdr:col>
      <xdr:colOff>826524</xdr:colOff>
      <xdr:row>7</xdr:row>
      <xdr:rowOff>131233</xdr:rowOff>
    </xdr:to>
    <xdr:cxnSp macro="">
      <xdr:nvCxnSpPr>
        <xdr:cNvPr id="20" name="Rett linje 19">
          <a:extLst>
            <a:ext uri="{FF2B5EF4-FFF2-40B4-BE49-F238E27FC236}">
              <a16:creationId xmlns:a16="http://schemas.microsoft.com/office/drawing/2014/main" id="{8A28711F-0FA4-47A7-83A5-7F3B975F3F49}"/>
            </a:ext>
          </a:extLst>
        </xdr:cNvPr>
        <xdr:cNvCxnSpPr/>
      </xdr:nvCxnSpPr>
      <xdr:spPr>
        <a:xfrm>
          <a:off x="6129857" y="1835150"/>
          <a:ext cx="6804000" cy="0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829733</xdr:colOff>
      <xdr:row>7</xdr:row>
      <xdr:rowOff>126999</xdr:rowOff>
    </xdr:from>
    <xdr:to>
      <xdr:col>8</xdr:col>
      <xdr:colOff>829733</xdr:colOff>
      <xdr:row>16</xdr:row>
      <xdr:rowOff>115166</xdr:rowOff>
    </xdr:to>
    <xdr:cxnSp macro="">
      <xdr:nvCxnSpPr>
        <xdr:cNvPr id="22" name="Rett linje 21">
          <a:extLst>
            <a:ext uri="{FF2B5EF4-FFF2-40B4-BE49-F238E27FC236}">
              <a16:creationId xmlns:a16="http://schemas.microsoft.com/office/drawing/2014/main" id="{A12BF357-2882-47D6-88B8-01D5529209BA}"/>
            </a:ext>
          </a:extLst>
        </xdr:cNvPr>
        <xdr:cNvCxnSpPr/>
      </xdr:nvCxnSpPr>
      <xdr:spPr>
        <a:xfrm>
          <a:off x="12937066" y="1830916"/>
          <a:ext cx="0" cy="1872000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830783</xdr:colOff>
      <xdr:row>16</xdr:row>
      <xdr:rowOff>114300</xdr:rowOff>
    </xdr:from>
    <xdr:to>
      <xdr:col>9</xdr:col>
      <xdr:colOff>200349</xdr:colOff>
      <xdr:row>16</xdr:row>
      <xdr:rowOff>114300</xdr:rowOff>
    </xdr:to>
    <xdr:cxnSp macro="">
      <xdr:nvCxnSpPr>
        <xdr:cNvPr id="26" name="Rett linje 25">
          <a:extLst>
            <a:ext uri="{FF2B5EF4-FFF2-40B4-BE49-F238E27FC236}">
              <a16:creationId xmlns:a16="http://schemas.microsoft.com/office/drawing/2014/main" id="{59D31ED2-BADA-4FDD-AF48-D22F203D0887}"/>
            </a:ext>
          </a:extLst>
        </xdr:cNvPr>
        <xdr:cNvCxnSpPr/>
      </xdr:nvCxnSpPr>
      <xdr:spPr>
        <a:xfrm>
          <a:off x="12938116" y="3702050"/>
          <a:ext cx="713650" cy="0"/>
        </a:xfrm>
        <a:prstGeom prst="line">
          <a:avLst/>
        </a:prstGeom>
        <a:ln>
          <a:solidFill>
            <a:srgbClr val="32006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542925</xdr:colOff>
      <xdr:row>6</xdr:row>
      <xdr:rowOff>143934</xdr:rowOff>
    </xdr:from>
    <xdr:to>
      <xdr:col>1</xdr:col>
      <xdr:colOff>140925</xdr:colOff>
      <xdr:row>6</xdr:row>
      <xdr:rowOff>143934</xdr:rowOff>
    </xdr:to>
    <xdr:cxnSp macro="">
      <xdr:nvCxnSpPr>
        <xdr:cNvPr id="27" name="Rett linje 26">
          <a:extLst>
            <a:ext uri="{FF2B5EF4-FFF2-40B4-BE49-F238E27FC236}">
              <a16:creationId xmlns:a16="http://schemas.microsoft.com/office/drawing/2014/main" id="{5EEE3A2B-8763-41A4-99D1-A1339104292E}"/>
            </a:ext>
          </a:extLst>
        </xdr:cNvPr>
        <xdr:cNvCxnSpPr/>
      </xdr:nvCxnSpPr>
      <xdr:spPr>
        <a:xfrm flipV="1">
          <a:off x="542925" y="1572684"/>
          <a:ext cx="360000" cy="0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539750</xdr:colOff>
      <xdr:row>6</xdr:row>
      <xdr:rowOff>137583</xdr:rowOff>
    </xdr:from>
    <xdr:to>
      <xdr:col>0</xdr:col>
      <xdr:colOff>550333</xdr:colOff>
      <xdr:row>41</xdr:row>
      <xdr:rowOff>314325</xdr:rowOff>
    </xdr:to>
    <xdr:cxnSp macro="">
      <xdr:nvCxnSpPr>
        <xdr:cNvPr id="30" name="Rett linje 29">
          <a:extLst>
            <a:ext uri="{FF2B5EF4-FFF2-40B4-BE49-F238E27FC236}">
              <a16:creationId xmlns:a16="http://schemas.microsoft.com/office/drawing/2014/main" id="{7E692047-87CC-4766-8DEE-DAD33C167728}"/>
            </a:ext>
          </a:extLst>
        </xdr:cNvPr>
        <xdr:cNvCxnSpPr/>
      </xdr:nvCxnSpPr>
      <xdr:spPr>
        <a:xfrm>
          <a:off x="539750" y="1598083"/>
          <a:ext cx="10583" cy="7204075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550333</xdr:colOff>
      <xdr:row>41</xdr:row>
      <xdr:rowOff>306917</xdr:rowOff>
    </xdr:from>
    <xdr:to>
      <xdr:col>0</xdr:col>
      <xdr:colOff>754591</xdr:colOff>
      <xdr:row>41</xdr:row>
      <xdr:rowOff>306917</xdr:rowOff>
    </xdr:to>
    <xdr:cxnSp macro="">
      <xdr:nvCxnSpPr>
        <xdr:cNvPr id="34" name="Rett linje 33">
          <a:extLst>
            <a:ext uri="{FF2B5EF4-FFF2-40B4-BE49-F238E27FC236}">
              <a16:creationId xmlns:a16="http://schemas.microsoft.com/office/drawing/2014/main" id="{2225E0AB-5672-4826-8152-ED7E4AB91B65}"/>
            </a:ext>
          </a:extLst>
        </xdr:cNvPr>
        <xdr:cNvCxnSpPr/>
      </xdr:nvCxnSpPr>
      <xdr:spPr>
        <a:xfrm>
          <a:off x="550333" y="8794750"/>
          <a:ext cx="204258" cy="0"/>
        </a:xfrm>
        <a:prstGeom prst="line">
          <a:avLst/>
        </a:prstGeom>
        <a:ln>
          <a:solidFill>
            <a:srgbClr val="320065"/>
          </a:solidFill>
          <a:tailEnd type="triangle" w="med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193673</xdr:colOff>
      <xdr:row>9</xdr:row>
      <xdr:rowOff>148167</xdr:rowOff>
    </xdr:from>
    <xdr:to>
      <xdr:col>1</xdr:col>
      <xdr:colOff>115673</xdr:colOff>
      <xdr:row>9</xdr:row>
      <xdr:rowOff>148167</xdr:rowOff>
    </xdr:to>
    <xdr:cxnSp macro="">
      <xdr:nvCxnSpPr>
        <xdr:cNvPr id="38" name="Rett linje 37">
          <a:extLst>
            <a:ext uri="{FF2B5EF4-FFF2-40B4-BE49-F238E27FC236}">
              <a16:creationId xmlns:a16="http://schemas.microsoft.com/office/drawing/2014/main" id="{CDA4F1B4-31AD-41E5-B8A9-ADE77C0A7892}"/>
            </a:ext>
          </a:extLst>
        </xdr:cNvPr>
        <xdr:cNvCxnSpPr/>
      </xdr:nvCxnSpPr>
      <xdr:spPr>
        <a:xfrm>
          <a:off x="193673" y="2275417"/>
          <a:ext cx="684000" cy="0"/>
        </a:xfrm>
        <a:prstGeom prst="line">
          <a:avLst/>
        </a:prstGeom>
        <a:ln>
          <a:solidFill>
            <a:srgbClr val="0065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197909</xdr:colOff>
      <xdr:row>9</xdr:row>
      <xdr:rowOff>140758</xdr:rowOff>
    </xdr:from>
    <xdr:to>
      <xdr:col>0</xdr:col>
      <xdr:colOff>197909</xdr:colOff>
      <xdr:row>44</xdr:row>
      <xdr:rowOff>103841</xdr:rowOff>
    </xdr:to>
    <xdr:cxnSp macro="">
      <xdr:nvCxnSpPr>
        <xdr:cNvPr id="39" name="Rett linje 38">
          <a:extLst>
            <a:ext uri="{FF2B5EF4-FFF2-40B4-BE49-F238E27FC236}">
              <a16:creationId xmlns:a16="http://schemas.microsoft.com/office/drawing/2014/main" id="{3C795CB1-08A4-4FB5-A7DD-719F89570896}"/>
            </a:ext>
          </a:extLst>
        </xdr:cNvPr>
        <xdr:cNvCxnSpPr/>
      </xdr:nvCxnSpPr>
      <xdr:spPr>
        <a:xfrm flipH="1" flipV="1">
          <a:off x="197909" y="2278591"/>
          <a:ext cx="0" cy="7128000"/>
        </a:xfrm>
        <a:prstGeom prst="line">
          <a:avLst/>
        </a:prstGeom>
        <a:ln>
          <a:solidFill>
            <a:srgbClr val="0065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196850</xdr:colOff>
      <xdr:row>44</xdr:row>
      <xdr:rowOff>105832</xdr:rowOff>
    </xdr:from>
    <xdr:to>
      <xdr:col>0</xdr:col>
      <xdr:colOff>700850</xdr:colOff>
      <xdr:row>44</xdr:row>
      <xdr:rowOff>105832</xdr:rowOff>
    </xdr:to>
    <xdr:cxnSp macro="">
      <xdr:nvCxnSpPr>
        <xdr:cNvPr id="41" name="Rett linje 40">
          <a:extLst>
            <a:ext uri="{FF2B5EF4-FFF2-40B4-BE49-F238E27FC236}">
              <a16:creationId xmlns:a16="http://schemas.microsoft.com/office/drawing/2014/main" id="{A6193B57-CC65-4D4C-9538-80AF58635FFA}"/>
            </a:ext>
          </a:extLst>
        </xdr:cNvPr>
        <xdr:cNvCxnSpPr/>
      </xdr:nvCxnSpPr>
      <xdr:spPr>
        <a:xfrm flipV="1">
          <a:off x="196850" y="9408582"/>
          <a:ext cx="504000" cy="0"/>
        </a:xfrm>
        <a:prstGeom prst="line">
          <a:avLst/>
        </a:prstGeom>
        <a:ln>
          <a:solidFill>
            <a:srgbClr val="006598"/>
          </a:solidFill>
          <a:tailEnd type="triangle" w="med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7406</xdr:colOff>
      <xdr:row>30</xdr:row>
      <xdr:rowOff>151341</xdr:rowOff>
    </xdr:from>
    <xdr:to>
      <xdr:col>10</xdr:col>
      <xdr:colOff>28574</xdr:colOff>
      <xdr:row>37</xdr:row>
      <xdr:rowOff>176740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FFE0C84-CD04-4F22-9A66-96BB2F0250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1343025</xdr:colOff>
      <xdr:row>10</xdr:row>
      <xdr:rowOff>131233</xdr:rowOff>
    </xdr:from>
    <xdr:to>
      <xdr:col>4</xdr:col>
      <xdr:colOff>648759</xdr:colOff>
      <xdr:row>10</xdr:row>
      <xdr:rowOff>131233</xdr:rowOff>
    </xdr:to>
    <xdr:cxnSp macro="">
      <xdr:nvCxnSpPr>
        <xdr:cNvPr id="3" name="Rett linje 2">
          <a:extLst>
            <a:ext uri="{FF2B5EF4-FFF2-40B4-BE49-F238E27FC236}">
              <a16:creationId xmlns:a16="http://schemas.microsoft.com/office/drawing/2014/main" id="{8486E412-EC1A-453A-A710-EF5501BF65C1}"/>
            </a:ext>
          </a:extLst>
        </xdr:cNvPr>
        <xdr:cNvCxnSpPr/>
      </xdr:nvCxnSpPr>
      <xdr:spPr>
        <a:xfrm>
          <a:off x="6483350" y="2455333"/>
          <a:ext cx="651934" cy="0"/>
        </a:xfrm>
        <a:prstGeom prst="line">
          <a:avLst/>
        </a:prstGeom>
        <a:ln>
          <a:solidFill>
            <a:srgbClr val="0065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648758</xdr:colOff>
      <xdr:row>10</xdr:row>
      <xdr:rowOff>132290</xdr:rowOff>
    </xdr:from>
    <xdr:to>
      <xdr:col>4</xdr:col>
      <xdr:colOff>648758</xdr:colOff>
      <xdr:row>18</xdr:row>
      <xdr:rowOff>107623</xdr:rowOff>
    </xdr:to>
    <xdr:cxnSp macro="">
      <xdr:nvCxnSpPr>
        <xdr:cNvPr id="4" name="Rett linje 3">
          <a:extLst>
            <a:ext uri="{FF2B5EF4-FFF2-40B4-BE49-F238E27FC236}">
              <a16:creationId xmlns:a16="http://schemas.microsoft.com/office/drawing/2014/main" id="{2953703D-D9A2-4173-A711-92F9F08734D2}"/>
            </a:ext>
          </a:extLst>
        </xdr:cNvPr>
        <xdr:cNvCxnSpPr/>
      </xdr:nvCxnSpPr>
      <xdr:spPr>
        <a:xfrm flipV="1">
          <a:off x="7135283" y="2456390"/>
          <a:ext cx="0" cy="1572358"/>
        </a:xfrm>
        <a:prstGeom prst="line">
          <a:avLst/>
        </a:prstGeom>
        <a:ln>
          <a:solidFill>
            <a:srgbClr val="0065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648759</xdr:colOff>
      <xdr:row>18</xdr:row>
      <xdr:rowOff>101600</xdr:rowOff>
    </xdr:from>
    <xdr:to>
      <xdr:col>5</xdr:col>
      <xdr:colOff>25400</xdr:colOff>
      <xdr:row>18</xdr:row>
      <xdr:rowOff>101600</xdr:rowOff>
    </xdr:to>
    <xdr:cxnSp macro="">
      <xdr:nvCxnSpPr>
        <xdr:cNvPr id="5" name="Rett linje 4">
          <a:extLst>
            <a:ext uri="{FF2B5EF4-FFF2-40B4-BE49-F238E27FC236}">
              <a16:creationId xmlns:a16="http://schemas.microsoft.com/office/drawing/2014/main" id="{450C2548-108D-4B73-B2F0-5EC8E69C2066}"/>
            </a:ext>
          </a:extLst>
        </xdr:cNvPr>
        <xdr:cNvCxnSpPr/>
      </xdr:nvCxnSpPr>
      <xdr:spPr>
        <a:xfrm>
          <a:off x="7135284" y="4029075"/>
          <a:ext cx="513291" cy="0"/>
        </a:xfrm>
        <a:prstGeom prst="line">
          <a:avLst/>
        </a:prstGeom>
        <a:ln>
          <a:solidFill>
            <a:srgbClr val="006598"/>
          </a:solidFill>
          <a:tailEnd type="triangle" w="med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542925</xdr:colOff>
      <xdr:row>6</xdr:row>
      <xdr:rowOff>143934</xdr:rowOff>
    </xdr:from>
    <xdr:to>
      <xdr:col>1</xdr:col>
      <xdr:colOff>140925</xdr:colOff>
      <xdr:row>6</xdr:row>
      <xdr:rowOff>143934</xdr:rowOff>
    </xdr:to>
    <xdr:cxnSp macro="">
      <xdr:nvCxnSpPr>
        <xdr:cNvPr id="9" name="Rett linje 8">
          <a:extLst>
            <a:ext uri="{FF2B5EF4-FFF2-40B4-BE49-F238E27FC236}">
              <a16:creationId xmlns:a16="http://schemas.microsoft.com/office/drawing/2014/main" id="{E988C5D0-64AC-4B80-B1C0-9BBF72DFD4F8}"/>
            </a:ext>
          </a:extLst>
        </xdr:cNvPr>
        <xdr:cNvCxnSpPr/>
      </xdr:nvCxnSpPr>
      <xdr:spPr>
        <a:xfrm flipV="1">
          <a:off x="539750" y="1531409"/>
          <a:ext cx="404450" cy="0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539750</xdr:colOff>
      <xdr:row>6</xdr:row>
      <xdr:rowOff>137583</xdr:rowOff>
    </xdr:from>
    <xdr:to>
      <xdr:col>0</xdr:col>
      <xdr:colOff>550333</xdr:colOff>
      <xdr:row>41</xdr:row>
      <xdr:rowOff>314325</xdr:rowOff>
    </xdr:to>
    <xdr:cxnSp macro="">
      <xdr:nvCxnSpPr>
        <xdr:cNvPr id="10" name="Rett linje 9">
          <a:extLst>
            <a:ext uri="{FF2B5EF4-FFF2-40B4-BE49-F238E27FC236}">
              <a16:creationId xmlns:a16="http://schemas.microsoft.com/office/drawing/2014/main" id="{DA23FF25-0003-4BD9-92EC-E7F881A0DE7D}"/>
            </a:ext>
          </a:extLst>
        </xdr:cNvPr>
        <xdr:cNvCxnSpPr/>
      </xdr:nvCxnSpPr>
      <xdr:spPr>
        <a:xfrm>
          <a:off x="542925" y="1531408"/>
          <a:ext cx="7408" cy="7209367"/>
        </a:xfrm>
        <a:prstGeom prst="line">
          <a:avLst/>
        </a:prstGeom>
        <a:ln>
          <a:solidFill>
            <a:srgbClr val="32006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550333</xdr:colOff>
      <xdr:row>41</xdr:row>
      <xdr:rowOff>306917</xdr:rowOff>
    </xdr:from>
    <xdr:to>
      <xdr:col>0</xdr:col>
      <xdr:colOff>754591</xdr:colOff>
      <xdr:row>41</xdr:row>
      <xdr:rowOff>306917</xdr:rowOff>
    </xdr:to>
    <xdr:cxnSp macro="">
      <xdr:nvCxnSpPr>
        <xdr:cNvPr id="11" name="Rett linje 10">
          <a:extLst>
            <a:ext uri="{FF2B5EF4-FFF2-40B4-BE49-F238E27FC236}">
              <a16:creationId xmlns:a16="http://schemas.microsoft.com/office/drawing/2014/main" id="{8164888F-EE9A-49C3-9CFC-6015362EA677}"/>
            </a:ext>
          </a:extLst>
        </xdr:cNvPr>
        <xdr:cNvCxnSpPr/>
      </xdr:nvCxnSpPr>
      <xdr:spPr>
        <a:xfrm>
          <a:off x="550333" y="8736542"/>
          <a:ext cx="201083" cy="0"/>
        </a:xfrm>
        <a:prstGeom prst="line">
          <a:avLst/>
        </a:prstGeom>
        <a:ln>
          <a:solidFill>
            <a:srgbClr val="320065"/>
          </a:solidFill>
          <a:tailEnd type="triangle" w="med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193673</xdr:colOff>
      <xdr:row>9</xdr:row>
      <xdr:rowOff>148167</xdr:rowOff>
    </xdr:from>
    <xdr:to>
      <xdr:col>1</xdr:col>
      <xdr:colOff>115673</xdr:colOff>
      <xdr:row>9</xdr:row>
      <xdr:rowOff>148167</xdr:rowOff>
    </xdr:to>
    <xdr:cxnSp macro="">
      <xdr:nvCxnSpPr>
        <xdr:cNvPr id="12" name="Rett linje 11">
          <a:extLst>
            <a:ext uri="{FF2B5EF4-FFF2-40B4-BE49-F238E27FC236}">
              <a16:creationId xmlns:a16="http://schemas.microsoft.com/office/drawing/2014/main" id="{0CA31F7F-6057-4C38-AE27-19C462C9DE9F}"/>
            </a:ext>
          </a:extLst>
        </xdr:cNvPr>
        <xdr:cNvCxnSpPr/>
      </xdr:nvCxnSpPr>
      <xdr:spPr>
        <a:xfrm>
          <a:off x="193673" y="2230967"/>
          <a:ext cx="722100" cy="0"/>
        </a:xfrm>
        <a:prstGeom prst="line">
          <a:avLst/>
        </a:prstGeom>
        <a:ln>
          <a:solidFill>
            <a:srgbClr val="0065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201084</xdr:colOff>
      <xdr:row>9</xdr:row>
      <xdr:rowOff>143933</xdr:rowOff>
    </xdr:from>
    <xdr:to>
      <xdr:col>0</xdr:col>
      <xdr:colOff>232833</xdr:colOff>
      <xdr:row>51</xdr:row>
      <xdr:rowOff>137583</xdr:rowOff>
    </xdr:to>
    <xdr:cxnSp macro="">
      <xdr:nvCxnSpPr>
        <xdr:cNvPr id="13" name="Rett linje 12">
          <a:extLst>
            <a:ext uri="{FF2B5EF4-FFF2-40B4-BE49-F238E27FC236}">
              <a16:creationId xmlns:a16="http://schemas.microsoft.com/office/drawing/2014/main" id="{3965CFB8-9AE3-431F-9F69-34196B097C82}"/>
            </a:ext>
          </a:extLst>
        </xdr:cNvPr>
        <xdr:cNvCxnSpPr/>
      </xdr:nvCxnSpPr>
      <xdr:spPr>
        <a:xfrm flipH="1" flipV="1">
          <a:off x="201084" y="2239433"/>
          <a:ext cx="31749" cy="8375650"/>
        </a:xfrm>
        <a:prstGeom prst="line">
          <a:avLst/>
        </a:prstGeom>
        <a:ln>
          <a:solidFill>
            <a:srgbClr val="0065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221192</xdr:colOff>
      <xdr:row>51</xdr:row>
      <xdr:rowOff>123824</xdr:rowOff>
    </xdr:from>
    <xdr:to>
      <xdr:col>0</xdr:col>
      <xdr:colOff>718842</xdr:colOff>
      <xdr:row>51</xdr:row>
      <xdr:rowOff>123824</xdr:rowOff>
    </xdr:to>
    <xdr:cxnSp macro="">
      <xdr:nvCxnSpPr>
        <xdr:cNvPr id="14" name="Rett linje 13">
          <a:extLst>
            <a:ext uri="{FF2B5EF4-FFF2-40B4-BE49-F238E27FC236}">
              <a16:creationId xmlns:a16="http://schemas.microsoft.com/office/drawing/2014/main" id="{1DA14D9A-5884-44CD-8369-7DAF580B4481}"/>
            </a:ext>
          </a:extLst>
        </xdr:cNvPr>
        <xdr:cNvCxnSpPr/>
      </xdr:nvCxnSpPr>
      <xdr:spPr>
        <a:xfrm flipV="1">
          <a:off x="221192" y="10601324"/>
          <a:ext cx="497650" cy="0"/>
        </a:xfrm>
        <a:prstGeom prst="line">
          <a:avLst/>
        </a:prstGeom>
        <a:ln>
          <a:solidFill>
            <a:srgbClr val="006598"/>
          </a:solidFill>
          <a:tailEnd type="triangle" w="med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216477</xdr:colOff>
      <xdr:row>7</xdr:row>
      <xdr:rowOff>138546</xdr:rowOff>
    </xdr:from>
    <xdr:to>
      <xdr:col>20</xdr:col>
      <xdr:colOff>216477</xdr:colOff>
      <xdr:row>8</xdr:row>
      <xdr:rowOff>92046</xdr:rowOff>
    </xdr:to>
    <xdr:cxnSp macro="">
      <xdr:nvCxnSpPr>
        <xdr:cNvPr id="9" name="Rett linje 8">
          <a:extLst>
            <a:ext uri="{FF2B5EF4-FFF2-40B4-BE49-F238E27FC236}">
              <a16:creationId xmlns:a16="http://schemas.microsoft.com/office/drawing/2014/main" id="{8DCD430C-BC88-4022-99D9-138527675A3E}"/>
            </a:ext>
          </a:extLst>
        </xdr:cNvPr>
        <xdr:cNvCxnSpPr/>
      </xdr:nvCxnSpPr>
      <xdr:spPr>
        <a:xfrm flipV="1">
          <a:off x="10390909" y="1472046"/>
          <a:ext cx="0" cy="144000"/>
        </a:xfrm>
        <a:prstGeom prst="line">
          <a:avLst/>
        </a:prstGeom>
        <a:ln>
          <a:solidFill>
            <a:schemeClr val="bg1">
              <a:lumMod val="65000"/>
            </a:schemeClr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133350</xdr:rowOff>
    </xdr:from>
    <xdr:to>
      <xdr:col>6</xdr:col>
      <xdr:colOff>0</xdr:colOff>
      <xdr:row>37</xdr:row>
      <xdr:rowOff>66675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608B0F8-0B73-4CDE-B6C6-19859CC34D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0.64801</cdr:x>
      <cdr:y>0.22574</cdr:y>
    </cdr:from>
    <cdr:to>
      <cdr:x>0.64801</cdr:x>
      <cdr:y>0.81013</cdr:y>
    </cdr:to>
    <cdr:cxnSp macro="">
      <cdr:nvCxnSpPr>
        <cdr:cNvPr id="5" name="Rett linje 4">
          <a:extLst xmlns:a="http://schemas.openxmlformats.org/drawingml/2006/main">
            <a:ext uri="{FF2B5EF4-FFF2-40B4-BE49-F238E27FC236}">
              <a16:creationId xmlns:a16="http://schemas.microsoft.com/office/drawing/2014/main" id="{66B84651-51EF-329D-B805-80B8251947FA}"/>
            </a:ext>
          </a:extLst>
        </cdr:cNvPr>
        <cdr:cNvCxnSpPr/>
      </cdr:nvCxnSpPr>
      <cdr:spPr>
        <a:xfrm xmlns:a="http://schemas.openxmlformats.org/drawingml/2006/main" flipH="1">
          <a:off x="4962525" y="1019175"/>
          <a:ext cx="0" cy="263842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2">
              <a:lumMod val="50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0.53607</cdr:x>
      <cdr:y>0.14979</cdr:y>
    </cdr:from>
    <cdr:to>
      <cdr:x>0.75124</cdr:x>
      <cdr:y>0.22574</cdr:y>
    </cdr:to>
    <cdr:sp macro="" textlink="">
      <cdr:nvSpPr>
        <cdr:cNvPr id="6" name="TekstSylinder 5">
          <a:extLst xmlns:a="http://schemas.openxmlformats.org/drawingml/2006/main">
            <a:ext uri="{FF2B5EF4-FFF2-40B4-BE49-F238E27FC236}">
              <a16:creationId xmlns:a16="http://schemas.microsoft.com/office/drawing/2014/main" id="{F3788FF4-8B17-34B9-2546-28238B21D937}"/>
            </a:ext>
          </a:extLst>
        </cdr:cNvPr>
        <cdr:cNvSpPr txBox="1"/>
      </cdr:nvSpPr>
      <cdr:spPr>
        <a:xfrm xmlns:a="http://schemas.openxmlformats.org/drawingml/2006/main">
          <a:off x="4105275" y="676275"/>
          <a:ext cx="16478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nb-NO" sz="1600"/>
            <a:t>1 263 717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133350</xdr:rowOff>
    </xdr:from>
    <xdr:to>
      <xdr:col>6</xdr:col>
      <xdr:colOff>0</xdr:colOff>
      <xdr:row>37</xdr:row>
      <xdr:rowOff>66675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8A27B69-30B7-4583-8609-B017593ED9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78ABB-9D70-40DA-A230-D2BDC679A1E0}">
  <dimension ref="B2:J42"/>
  <sheetViews>
    <sheetView showGridLines="0" tabSelected="1" zoomScale="90" zoomScaleNormal="90" workbookViewId="0">
      <selection activeCell="C7" sqref="C7"/>
    </sheetView>
  </sheetViews>
  <sheetFormatPr baseColWidth="10" defaultRowHeight="14.5" x14ac:dyDescent="0.35"/>
  <cols>
    <col min="2" max="2" width="35.81640625" customWidth="1"/>
    <col min="3" max="3" width="26.81640625" customWidth="1"/>
    <col min="4" max="4" width="22.54296875" customWidth="1"/>
    <col min="5" max="5" width="23.1796875" customWidth="1"/>
    <col min="6" max="6" width="56.7265625" customWidth="1"/>
  </cols>
  <sheetData>
    <row r="2" spans="2:10" ht="28.5" x14ac:dyDescent="0.65">
      <c r="B2" s="216" t="s">
        <v>504</v>
      </c>
    </row>
    <row r="3" spans="2:10" ht="18.5" x14ac:dyDescent="0.45">
      <c r="B3" s="265" t="s">
        <v>565</v>
      </c>
    </row>
    <row r="4" spans="2:10" ht="14.5" customHeight="1" x14ac:dyDescent="0.35"/>
    <row r="5" spans="2:10" ht="18.5" x14ac:dyDescent="0.45">
      <c r="B5" s="22" t="s">
        <v>505</v>
      </c>
      <c r="C5" s="33"/>
      <c r="D5" s="271"/>
      <c r="E5" s="271"/>
      <c r="F5" s="271"/>
    </row>
    <row r="6" spans="2:10" ht="15" thickBot="1" x14ac:dyDescent="0.4">
      <c r="B6" s="21"/>
      <c r="C6" s="23"/>
    </row>
    <row r="7" spans="2:10" ht="21" customHeight="1" thickBot="1" x14ac:dyDescent="0.4">
      <c r="B7" s="40" t="s">
        <v>47</v>
      </c>
      <c r="C7" s="24" t="s">
        <v>32</v>
      </c>
      <c r="D7" s="268"/>
    </row>
    <row r="8" spans="2:10" ht="11.15" customHeight="1" x14ac:dyDescent="0.35">
      <c r="B8" s="40"/>
      <c r="C8" s="40"/>
      <c r="D8" s="40"/>
      <c r="E8" s="276"/>
    </row>
    <row r="9" spans="2:10" ht="21" customHeight="1" x14ac:dyDescent="0.35">
      <c r="B9" s="340" t="str">
        <f>IFERROR(VLOOKUP(C7,'Diagram marginalskatt'!$A$24:$C$29,3,FALSE),"")</f>
        <v>Skatteoptimalt uttak i valgt sone er inntil 980 100 kr i lønn, deretter utbytte.</v>
      </c>
      <c r="C9" s="268"/>
      <c r="D9" s="268"/>
      <c r="E9" s="276"/>
    </row>
    <row r="10" spans="2:10" ht="20.149999999999999" customHeight="1" x14ac:dyDescent="0.4">
      <c r="B10" s="26" t="s">
        <v>585</v>
      </c>
      <c r="C10" s="75"/>
    </row>
    <row r="14" spans="2:10" ht="29" x14ac:dyDescent="0.35">
      <c r="C14" s="121" t="s">
        <v>32</v>
      </c>
      <c r="D14" s="121" t="s">
        <v>33</v>
      </c>
      <c r="E14" s="121" t="s">
        <v>34</v>
      </c>
      <c r="F14" s="121" t="s">
        <v>35</v>
      </c>
      <c r="G14" s="121" t="s">
        <v>36</v>
      </c>
      <c r="H14" s="121" t="s">
        <v>37</v>
      </c>
      <c r="I14" s="122" t="s">
        <v>38</v>
      </c>
      <c r="J14" s="121" t="s">
        <v>44</v>
      </c>
    </row>
    <row r="15" spans="2:10" x14ac:dyDescent="0.35">
      <c r="C15" s="94"/>
      <c r="D15" s="94"/>
      <c r="E15" s="94"/>
      <c r="F15" s="94"/>
      <c r="G15" s="94"/>
      <c r="H15" s="94"/>
      <c r="I15" s="124"/>
      <c r="J15" s="94">
        <v>0.51519999999999999</v>
      </c>
    </row>
    <row r="16" spans="2:10" x14ac:dyDescent="0.35">
      <c r="C16" s="126">
        <v>0.1235758106923751</v>
      </c>
      <c r="D16" s="126">
        <v>9.5840867992766712E-2</v>
      </c>
      <c r="E16" s="126">
        <v>6.0150375939849621E-2</v>
      </c>
      <c r="F16" s="126">
        <v>4.8525214081826834E-2</v>
      </c>
      <c r="G16" s="126">
        <v>7.3215940685820213E-2</v>
      </c>
      <c r="H16" s="126">
        <v>0</v>
      </c>
      <c r="I16" s="124" cm="1">
        <f t="array" ref="I16:I31">INDEX(C16:H31,,MATCH(C7,C14:H14,0))</f>
        <v>0.1235758106923751</v>
      </c>
      <c r="J16" s="126">
        <v>0.51519999999999999</v>
      </c>
    </row>
    <row r="17" spans="3:10" x14ac:dyDescent="0.35">
      <c r="C17" s="126">
        <v>0.12357647910752785</v>
      </c>
      <c r="D17" s="126">
        <v>9.5841557560297719E-2</v>
      </c>
      <c r="E17" s="126">
        <v>6.0151092727151592E-2</v>
      </c>
      <c r="F17" s="126">
        <v>4.8525939735194389E-2</v>
      </c>
      <c r="G17" s="126">
        <v>7.3216647508516502E-2</v>
      </c>
      <c r="H17" s="126">
        <v>7.6266168929564178E-7</v>
      </c>
      <c r="I17" s="124">
        <v>0.12357647910752785</v>
      </c>
      <c r="J17" s="126">
        <v>0.51519999999999999</v>
      </c>
    </row>
    <row r="18" spans="3:10" x14ac:dyDescent="0.35">
      <c r="C18" s="126">
        <v>0.19018404907975459</v>
      </c>
      <c r="D18" s="126">
        <v>0.16455696202531644</v>
      </c>
      <c r="E18" s="126">
        <v>0.13157894736842105</v>
      </c>
      <c r="F18" s="126">
        <v>0.120837297811608</v>
      </c>
      <c r="G18" s="126">
        <v>0.14365152919369786</v>
      </c>
      <c r="H18" s="126">
        <v>7.5999999999999998E-2</v>
      </c>
      <c r="I18" s="124">
        <v>0.19018404907975459</v>
      </c>
      <c r="J18" s="126">
        <v>0.51519999999999999</v>
      </c>
    </row>
    <row r="19" spans="3:10" x14ac:dyDescent="0.35">
      <c r="C19" s="126">
        <v>0.19018404907975459</v>
      </c>
      <c r="D19" s="126">
        <v>0.16455696202531644</v>
      </c>
      <c r="E19" s="126">
        <v>0.13157894736842105</v>
      </c>
      <c r="F19" s="126">
        <v>0.120837297811608</v>
      </c>
      <c r="G19" s="126">
        <v>0.14365152919369786</v>
      </c>
      <c r="H19" s="126">
        <v>7.5999999999999998E-2</v>
      </c>
      <c r="I19" s="124">
        <v>0.19018404907975459</v>
      </c>
      <c r="J19" s="126">
        <v>0.51519999999999999</v>
      </c>
    </row>
    <row r="20" spans="3:10" x14ac:dyDescent="0.35">
      <c r="C20" s="126">
        <v>0.19018496618594055</v>
      </c>
      <c r="D20" s="126">
        <v>0.16455790815385005</v>
      </c>
      <c r="E20" s="126">
        <v>0.13157993084413366</v>
      </c>
      <c r="F20" s="126">
        <v>0.12083829345210105</v>
      </c>
      <c r="G20" s="126">
        <v>0.14365249899736629</v>
      </c>
      <c r="H20" s="126">
        <v>7.6001046418158205E-2</v>
      </c>
      <c r="I20" s="124">
        <v>0.19018496618594055</v>
      </c>
      <c r="J20" s="126">
        <v>0.51519999999999999</v>
      </c>
    </row>
    <row r="21" spans="3:10" x14ac:dyDescent="0.35">
      <c r="C21" s="128">
        <v>0.20370912330059571</v>
      </c>
      <c r="D21" s="128">
        <v>0.17851004492403236</v>
      </c>
      <c r="E21" s="128">
        <v>0.14608280985524413</v>
      </c>
      <c r="F21" s="128">
        <v>0.13552056107134117</v>
      </c>
      <c r="G21" s="128">
        <v>0.15795376245225176</v>
      </c>
      <c r="H21" s="128">
        <v>9.1432109685979646E-2</v>
      </c>
      <c r="I21" s="124">
        <v>0.20370912330059571</v>
      </c>
      <c r="J21" s="126">
        <v>0.51519999999999999</v>
      </c>
    </row>
    <row r="22" spans="3:10" x14ac:dyDescent="0.35">
      <c r="C22" s="128">
        <v>0.39789658194566152</v>
      </c>
      <c r="D22" s="128">
        <v>0.37884267631103075</v>
      </c>
      <c r="E22" s="128">
        <v>0.35432330827067654</v>
      </c>
      <c r="F22" s="128">
        <v>0.34633682207421501</v>
      </c>
      <c r="G22" s="128">
        <v>0.36329935125115853</v>
      </c>
      <c r="H22" s="128">
        <v>0.313</v>
      </c>
      <c r="I22" s="124">
        <v>0.39789658194566152</v>
      </c>
      <c r="J22" s="126">
        <v>0.51519999999999999</v>
      </c>
    </row>
    <row r="23" spans="3:10" x14ac:dyDescent="0.35">
      <c r="C23" s="128">
        <v>0.39789658194566152</v>
      </c>
      <c r="D23" s="128">
        <v>0.37884267631103075</v>
      </c>
      <c r="E23" s="128">
        <v>0.35432330827067654</v>
      </c>
      <c r="F23" s="128">
        <v>0.34633682207421501</v>
      </c>
      <c r="G23" s="128">
        <v>0.36329935125115853</v>
      </c>
      <c r="H23" s="128">
        <v>0.313</v>
      </c>
      <c r="I23" s="124">
        <v>0.39789658194566152</v>
      </c>
      <c r="J23" s="126">
        <v>0.51519999999999999</v>
      </c>
    </row>
    <row r="24" spans="3:10" x14ac:dyDescent="0.35">
      <c r="C24" s="128">
        <v>0.41805433829973715</v>
      </c>
      <c r="D24" s="128">
        <v>0.39963833634719714</v>
      </c>
      <c r="E24" s="128">
        <v>0.37593984962406019</v>
      </c>
      <c r="F24" s="128">
        <v>0.36822074215033296</v>
      </c>
      <c r="G24" s="128">
        <v>0.38461538461538458</v>
      </c>
      <c r="H24" s="128">
        <v>0.33600000000000002</v>
      </c>
      <c r="I24" s="124">
        <v>0.41805433829973715</v>
      </c>
      <c r="J24" s="126">
        <v>0.51519999999999999</v>
      </c>
    </row>
    <row r="25" spans="3:10" x14ac:dyDescent="0.35">
      <c r="C25" s="126">
        <v>0.41805433829973715</v>
      </c>
      <c r="D25" s="126">
        <v>0.39963833634719714</v>
      </c>
      <c r="E25" s="126">
        <v>0.37593984962406019</v>
      </c>
      <c r="F25" s="126">
        <v>0.36822074215033296</v>
      </c>
      <c r="G25" s="126">
        <v>0.38461538461538458</v>
      </c>
      <c r="H25" s="126">
        <v>0.33600000000000002</v>
      </c>
      <c r="I25" s="124">
        <v>0.41805433829973715</v>
      </c>
      <c r="J25" s="126">
        <v>0.51519999999999999</v>
      </c>
    </row>
    <row r="26" spans="3:10" x14ac:dyDescent="0.35">
      <c r="C26" s="126">
        <v>0.50306748466257667</v>
      </c>
      <c r="D26" s="126">
        <v>0.48734177215189861</v>
      </c>
      <c r="E26" s="126">
        <v>0.46710526315789475</v>
      </c>
      <c r="F26" s="126">
        <v>0.46051379638439577</v>
      </c>
      <c r="G26" s="126">
        <v>0.47451343836885995</v>
      </c>
      <c r="H26" s="126">
        <v>0.433</v>
      </c>
      <c r="I26" s="124">
        <v>0.50306748466257667</v>
      </c>
      <c r="J26" s="126">
        <v>0.51519999999999999</v>
      </c>
    </row>
    <row r="27" spans="3:10" x14ac:dyDescent="0.35">
      <c r="C27" s="126">
        <v>0.50306748466257667</v>
      </c>
      <c r="D27" s="126">
        <v>0.48734177215189861</v>
      </c>
      <c r="E27" s="126">
        <v>0.46710526315789475</v>
      </c>
      <c r="F27" s="126">
        <v>0.46051379638439577</v>
      </c>
      <c r="G27" s="126">
        <v>0.47451343836885995</v>
      </c>
      <c r="H27" s="126">
        <v>0.433</v>
      </c>
      <c r="I27" s="124">
        <v>0.50306748466257667</v>
      </c>
      <c r="J27" s="126">
        <v>0.51519999999999999</v>
      </c>
    </row>
    <row r="28" spans="3:10" x14ac:dyDescent="0.35">
      <c r="C28" s="126">
        <v>0.53023663453111314</v>
      </c>
      <c r="D28" s="126">
        <v>0.51537070524412276</v>
      </c>
      <c r="E28" s="126">
        <v>0.49624060150375937</v>
      </c>
      <c r="F28" s="126">
        <v>0.49000951474785931</v>
      </c>
      <c r="G28" s="126">
        <v>0.50324374420759965</v>
      </c>
      <c r="H28" s="126">
        <v>0.46400000000000002</v>
      </c>
      <c r="I28" s="124">
        <v>0.53023663453111314</v>
      </c>
      <c r="J28" s="126">
        <v>0.51519999999999999</v>
      </c>
    </row>
    <row r="29" spans="3:10" x14ac:dyDescent="0.35">
      <c r="C29" s="126">
        <v>0.53023663453111314</v>
      </c>
      <c r="D29" s="126">
        <v>0.51537070524412276</v>
      </c>
      <c r="E29" s="126">
        <v>0.49624060150375937</v>
      </c>
      <c r="F29" s="126">
        <v>0.49000951474785931</v>
      </c>
      <c r="G29" s="126">
        <v>0.50324374420759965</v>
      </c>
      <c r="H29" s="126">
        <v>0.46400000000000002</v>
      </c>
      <c r="I29" s="124">
        <v>0.53023663453111314</v>
      </c>
      <c r="J29" s="126">
        <v>0.51519999999999999</v>
      </c>
    </row>
    <row r="30" spans="3:10" x14ac:dyDescent="0.35">
      <c r="C30" s="126">
        <v>0.53900087642418959</v>
      </c>
      <c r="D30" s="126">
        <v>0.52441229656419552</v>
      </c>
      <c r="E30" s="126">
        <v>0.50563909774436133</v>
      </c>
      <c r="F30" s="126">
        <v>0.49952426260704069</v>
      </c>
      <c r="G30" s="126">
        <v>0.51251158480074177</v>
      </c>
      <c r="H30" s="126">
        <v>0.47399999999999992</v>
      </c>
      <c r="I30" s="124">
        <v>0.53900087642418959</v>
      </c>
      <c r="J30" s="126">
        <v>0.51519999999999999</v>
      </c>
    </row>
    <row r="31" spans="3:10" x14ac:dyDescent="0.35">
      <c r="C31" s="126">
        <v>0.53900087642418959</v>
      </c>
      <c r="D31" s="126">
        <v>0.52441229656419552</v>
      </c>
      <c r="E31" s="126">
        <v>0.50563909774436133</v>
      </c>
      <c r="F31" s="126">
        <v>0.49952426260704069</v>
      </c>
      <c r="G31" s="126">
        <v>0.51251158480074177</v>
      </c>
      <c r="H31" s="126">
        <v>0.47399999999999992</v>
      </c>
      <c r="I31" s="124">
        <v>0.53900087642418959</v>
      </c>
      <c r="J31" s="126">
        <v>0.51519999999999999</v>
      </c>
    </row>
    <row r="37" spans="2:6" ht="18.5" x14ac:dyDescent="0.45">
      <c r="B37" s="22" t="s">
        <v>502</v>
      </c>
      <c r="C37" s="33"/>
    </row>
    <row r="38" spans="2:6" ht="15" thickBot="1" x14ac:dyDescent="0.4">
      <c r="B38" s="21"/>
      <c r="C38" s="23"/>
    </row>
    <row r="39" spans="2:6" ht="20.5" customHeight="1" thickBot="1" x14ac:dyDescent="0.4">
      <c r="B39" s="40" t="s">
        <v>503</v>
      </c>
      <c r="C39" s="339"/>
      <c r="D39" s="268"/>
      <c r="E39" s="268"/>
      <c r="F39" s="268"/>
    </row>
    <row r="40" spans="2:6" x14ac:dyDescent="0.35">
      <c r="B40" s="21"/>
      <c r="C40" s="23"/>
    </row>
    <row r="41" spans="2:6" ht="23.15" customHeight="1" x14ac:dyDescent="0.35">
      <c r="B41" s="272" t="s">
        <v>108</v>
      </c>
      <c r="C41" s="273" t="s">
        <v>105</v>
      </c>
      <c r="D41" s="273" t="s">
        <v>106</v>
      </c>
      <c r="E41" s="274" t="s">
        <v>30</v>
      </c>
      <c r="F41" s="274" t="s">
        <v>107</v>
      </c>
    </row>
    <row r="42" spans="2:6" ht="23.15" customHeight="1" x14ac:dyDescent="0.35">
      <c r="B42" s="269" t="str">
        <f>IFERROR(IF(C39="","",VLOOKUP(C39,'AGA soner'!A1:E371,5,FALSE)),"Ingen treff")</f>
        <v/>
      </c>
      <c r="C42" s="270" t="str">
        <f>IF(C39="","",C39)</f>
        <v/>
      </c>
      <c r="D42" s="270" t="str">
        <f>IFERROR(IF(C39="","",VLOOKUP(C39,'AGA soner'!A1:E371,2,FALSE)),"Ingen treff")</f>
        <v/>
      </c>
      <c r="E42" s="275" t="str">
        <f>IFERROR(IF(C39="","",VLOOKUP(C39,'AGA soner'!A1:D371,3,FALSE)),"Ingen treff")</f>
        <v/>
      </c>
      <c r="F42" s="1" t="str">
        <f>IFERROR(IF(IF(C39="","",VLOOKUP(C39,'AGA soner'!A1:D371,4,FALSE))=0,"",IF(C39="","",VLOOKUP(C39,'AGA soner'!A1:D371,4,FALSE))),"Ingen treff")</f>
        <v/>
      </c>
    </row>
  </sheetData>
  <sheetProtection algorithmName="SHA-512" hashValue="iNZla0uIvu8ykaxkSmjDshyssKfZKHj3AHGy4tTLeBg1chZE6hm3h4KH+wPI35QIDZHX1aCHcCtLgFF5i90kYA==" saltValue="hWG3Rzv8rz0cdLtmDmtoEg==" spinCount="100000" sheet="1" formatCells="0" formatColumns="0" formatRows="0" insertColumns="0" insertRows="0" selectLockedCells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A999C97-89CC-4171-A6A2-3041B3DCB438}">
          <x14:formula1>
            <xm:f>'Diagram marginalskatt'!$A$24:$A$29</xm:f>
          </x14:formula1>
          <xm:sqref>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40483-F23A-4927-869F-F06652086D87}">
  <dimension ref="B1:X67"/>
  <sheetViews>
    <sheetView showGridLines="0" topLeftCell="A5" zoomScale="90" zoomScaleNormal="90" workbookViewId="0">
      <selection activeCell="D41" sqref="D41"/>
    </sheetView>
  </sheetViews>
  <sheetFormatPr baseColWidth="10" defaultColWidth="11.453125" defaultRowHeight="14.5" x14ac:dyDescent="0.35"/>
  <cols>
    <col min="1" max="1" width="4" style="21" customWidth="1"/>
    <col min="2" max="2" width="9.1796875" style="21" customWidth="1"/>
    <col min="3" max="3" width="50.54296875" style="21" customWidth="1"/>
    <col min="4" max="4" width="22.81640625" style="23" customWidth="1"/>
    <col min="5" max="6" width="7.81640625" style="23" customWidth="1"/>
    <col min="7" max="7" width="3.1796875" style="21" customWidth="1"/>
    <col min="8" max="8" width="15.81640625" style="21" bestFit="1" customWidth="1"/>
    <col min="9" max="9" width="23.54296875" style="21" customWidth="1"/>
    <col min="10" max="10" width="14" style="94" customWidth="1"/>
    <col min="11" max="11" width="23.54296875" style="21" customWidth="1"/>
    <col min="12" max="12" width="17.54296875" style="21" customWidth="1"/>
    <col min="13" max="13" width="17.7265625" style="21" customWidth="1"/>
    <col min="14" max="14" width="23.54296875" style="95" customWidth="1"/>
    <col min="15" max="15" width="11.453125" style="21"/>
    <col min="16" max="16" width="12" style="21" bestFit="1" customWidth="1"/>
    <col min="17" max="17" width="11.453125" style="21"/>
    <col min="18" max="18" width="9.54296875" style="21" customWidth="1"/>
    <col min="19" max="19" width="4.26953125" style="21" customWidth="1"/>
    <col min="20" max="20" width="6.7265625" style="21" customWidth="1"/>
    <col min="21" max="21" width="25.54296875" style="96" customWidth="1"/>
    <col min="22" max="22" width="13.453125" style="96" customWidth="1"/>
    <col min="23" max="23" width="14.54296875" style="96" customWidth="1"/>
    <col min="24" max="24" width="5" style="96" customWidth="1"/>
    <col min="25" max="16384" width="11.453125" style="21"/>
  </cols>
  <sheetData>
    <row r="1" spans="3:24" x14ac:dyDescent="0.35">
      <c r="G1" s="23"/>
    </row>
    <row r="2" spans="3:24" x14ac:dyDescent="0.35">
      <c r="G2" s="23"/>
    </row>
    <row r="3" spans="3:24" x14ac:dyDescent="0.35">
      <c r="G3" s="23"/>
    </row>
    <row r="4" spans="3:24" ht="21" x14ac:dyDescent="0.5">
      <c r="C4" s="39"/>
      <c r="H4" s="39" t="s">
        <v>57</v>
      </c>
      <c r="I4" s="97"/>
      <c r="J4" s="98"/>
      <c r="K4" s="97"/>
      <c r="L4" s="97"/>
      <c r="M4" s="97"/>
      <c r="N4" s="99"/>
      <c r="X4" s="102"/>
    </row>
    <row r="6" spans="3:24" ht="32.5" x14ac:dyDescent="0.45">
      <c r="C6" s="159"/>
      <c r="D6" s="102"/>
      <c r="H6" s="47" t="s">
        <v>21</v>
      </c>
      <c r="I6" s="48" t="s">
        <v>29</v>
      </c>
      <c r="J6" s="49" t="s">
        <v>20</v>
      </c>
      <c r="K6" s="48" t="s">
        <v>24</v>
      </c>
      <c r="L6" s="50" t="s">
        <v>28</v>
      </c>
      <c r="M6" s="49" t="s">
        <v>25</v>
      </c>
      <c r="N6" s="51" t="s">
        <v>26</v>
      </c>
      <c r="X6" s="102"/>
    </row>
    <row r="7" spans="3:24" ht="18" customHeight="1" x14ac:dyDescent="0.4">
      <c r="C7" s="96"/>
      <c r="D7" s="102"/>
      <c r="H7" s="52">
        <f>IF(D11*(1+I38)&gt;J28*(1+I38),J28*(1+I38),D11*(1+I38))</f>
        <v>0</v>
      </c>
      <c r="I7" s="53"/>
      <c r="J7" s="54">
        <f>H7/(1+I38)</f>
        <v>0</v>
      </c>
      <c r="K7" s="53"/>
      <c r="L7" s="55">
        <f>IF(H7=0,0,N7/H7)</f>
        <v>0</v>
      </c>
      <c r="M7" s="54">
        <f>N7</f>
        <v>0</v>
      </c>
      <c r="N7" s="56">
        <f>IF(D11&gt;J28,((J28-J22-J19)*I25)+(J28*I35)+(J28*(1+I38)-J28),IF(D21-D22-D23&lt;=0,D39,IF(AND(D11&lt;=J28,D24&gt;0),D39,0)))</f>
        <v>0</v>
      </c>
      <c r="X7" s="102"/>
    </row>
    <row r="8" spans="3:24" ht="18" customHeight="1" x14ac:dyDescent="0.4">
      <c r="C8" s="160"/>
      <c r="D8" s="161"/>
      <c r="E8" s="25"/>
      <c r="F8" s="25"/>
      <c r="H8" s="57">
        <f>IF($D$11*(1+$I$38)&gt;J29*(1+$I$38),J29*(1+$I$38)-H7,IF(AND($D$11*(1+$I$38)&gt;J28*(1+$I$38),$D$11*(1+$I$38)&lt;=J29*(1+$I$38)),$D$11*(1+$I$38)-H7,0))</f>
        <v>0</v>
      </c>
      <c r="I8" s="58">
        <f>IF(H8=0,0,H7+H8)</f>
        <v>0</v>
      </c>
      <c r="J8" s="58">
        <f>H8/(1+$I$38)</f>
        <v>0</v>
      </c>
      <c r="K8" s="58">
        <f>IF(J8=0,0,J7+J8)</f>
        <v>0</v>
      </c>
      <c r="L8" s="59">
        <f t="shared" ref="L8:L10" si="0">IF(H8=0,0,M8/H8)</f>
        <v>0</v>
      </c>
      <c r="M8" s="58">
        <f t="shared" ref="M8:M10" si="1">IF(N8=0,0,N8-N7)</f>
        <v>0</v>
      </c>
      <c r="N8" s="60">
        <f>IF(D11&gt;J29,(((J29-J22-J19)*I25))+(J29*I35)+((J29*(1+I38))-J29)+((J29-J28)*I28),IF(AND(D21&gt;J28,D21&lt;=J29),((D21-D22-D23)*I25)+(D21*I35)+((D21-J28)*I28)+((D21*(1+I38))-D21),0))</f>
        <v>0</v>
      </c>
      <c r="P8" s="107"/>
      <c r="X8" s="102"/>
    </row>
    <row r="9" spans="3:24" ht="18" customHeight="1" x14ac:dyDescent="0.4">
      <c r="H9" s="57">
        <f>IF(D11*(1+I38)&gt;J30*(1+I38),J30*(1+I38)-H8-H7,IF(AND(D11*(1+I38)&gt;J29+(1*I38),D11*(1+I38)&lt;=J30*(1+I38)),D11*(1+I38)-H8-H7,0))</f>
        <v>0</v>
      </c>
      <c r="I9" s="58">
        <f t="shared" ref="I9" si="2">IF(H9=0,0,I8+H9)</f>
        <v>0</v>
      </c>
      <c r="J9" s="58">
        <f>H9/(1+$I$38)</f>
        <v>0</v>
      </c>
      <c r="K9" s="58">
        <f t="shared" ref="K9" si="3">IF(J9=0,0,K8+J9)</f>
        <v>0</v>
      </c>
      <c r="L9" s="59">
        <f t="shared" si="0"/>
        <v>0</v>
      </c>
      <c r="M9" s="58">
        <f t="shared" si="1"/>
        <v>0</v>
      </c>
      <c r="N9" s="60">
        <f>IF(D11&gt;J30,((((J30-J22-J19)*I25)+(J30*I35)+(J29-J28)*I28)+(J30-J29)*I29)+(J30*(1+I38)-J30),IF(AND(D21&gt;J29,D21&lt;=J30),((D21-D22-D23)*I25)+(D21*I35)+((J29-J28)*I28)+((D21-J29)*I29)+((D21*(1+I38))-D21),0))</f>
        <v>0</v>
      </c>
      <c r="P9" s="111"/>
      <c r="X9" s="102"/>
    </row>
    <row r="10" spans="3:24" ht="18" customHeight="1" x14ac:dyDescent="0.45">
      <c r="C10" s="147" t="s">
        <v>40</v>
      </c>
      <c r="D10" s="148"/>
      <c r="H10" s="57">
        <f>IF(D11*(1+I38)&gt;J31*(1+I38),J31*(1+I38)-H9-H8-H7,IF(AND(D11*(1+I38)&gt;J30+(1*I38),D11*(1+I38)&lt;=J31*(1+I38)),D11*(1+I38)-H9-H8-H7,0))</f>
        <v>0</v>
      </c>
      <c r="I10" s="58">
        <f>IF(H10&lt;=0.00001,0,I9+H10)</f>
        <v>0</v>
      </c>
      <c r="J10" s="58">
        <f>H10/(1+$I$38)</f>
        <v>0</v>
      </c>
      <c r="K10" s="58">
        <f>IF(J10&lt;=0.0001,0,K9+J10)</f>
        <v>0</v>
      </c>
      <c r="L10" s="59">
        <f t="shared" si="0"/>
        <v>0</v>
      </c>
      <c r="M10" s="58">
        <f t="shared" si="1"/>
        <v>0</v>
      </c>
      <c r="N10" s="60">
        <f>IF(D11&gt;J31,(J31-J22-J19)*I25+(J31*I35)+(J29-J28)*I28+(J30-J29)*I29+(J31-J30)*I30+(J31*(1+I38)-J31),IF(AND(D21&gt;J30,D21&lt;=J31),((D21-D22-D23)*I25)+(D21*I35)+(J29-J28)*I28+(J30-J29)*I29+(D21-J30)*I30+(D21*(1+I38)-D21),0))</f>
        <v>0</v>
      </c>
      <c r="X10" s="102"/>
    </row>
    <row r="11" spans="3:24" ht="18" customHeight="1" thickBot="1" x14ac:dyDescent="0.45">
      <c r="C11" s="17" t="s">
        <v>48</v>
      </c>
      <c r="D11" s="144">
        <f>'Skattefritt utbytte'!D8/(1+'Lønn eller utbytte'!AA29)</f>
        <v>0</v>
      </c>
      <c r="E11" s="25"/>
      <c r="F11" s="25"/>
      <c r="H11" s="57">
        <f>IF(D11*(1+I38)&gt;J32*(1+I38),J32*(1+I38)-H10-H9-H8-H7,IF(AND(D11*(1+I38)&gt;J31+(1*I38),D11*(1+I38)&lt;=J32*(1+I38)),D11*(1+I38)-H10-H9-H8-H7,0))</f>
        <v>0</v>
      </c>
      <c r="I11" s="58">
        <f>IF(H11&lt;=0.0001,0,I10+H11)</f>
        <v>0</v>
      </c>
      <c r="J11" s="58">
        <f>H11/(1+$I$38)</f>
        <v>0</v>
      </c>
      <c r="K11" s="58">
        <f>IF(J11&lt;=0.0001,0,K10+J11)</f>
        <v>0</v>
      </c>
      <c r="L11" s="59">
        <f>IF(H11=0,0,M11/H11)</f>
        <v>0</v>
      </c>
      <c r="M11" s="58">
        <f>IF(N11=0,0,N11-N10)</f>
        <v>0</v>
      </c>
      <c r="N11" s="60">
        <f>IF(D11&gt;J32,(J32-J22-J19)*I25+(J32*I35)+(J29-J28)*I28+(J30-J29)*I29+(J31-J30)*I30+(J32-J31)*I31+(J38*I38)+(J32-J38)*I38,IF(AND(D21&gt;J31,D21&lt;=J32),((D21-D22-D23)*I25)+(D21*I35)+(J29-J28)*I28+(J30-J29)*I29+(J31-J30)*I30+(D21-J31)*I31+(J38*I38)+(D21-J38)*I38,0))</f>
        <v>0</v>
      </c>
      <c r="P11" s="107"/>
      <c r="X11" s="114"/>
    </row>
    <row r="12" spans="3:24" ht="18" customHeight="1" x14ac:dyDescent="0.4">
      <c r="C12" s="29"/>
      <c r="D12" s="30"/>
      <c r="H12" s="61">
        <f>IF((D11-J38)*(1+I38)+J38*(1+I38)&gt;(J32-J38)*(1+I38)+J38*(1+I38),(D11-J38)*(1+I38)+J38*(1+I38)-H11-H10-H9-H8-H7,0)</f>
        <v>0</v>
      </c>
      <c r="I12" s="62">
        <f>IF(H12=0,0,I11+H12)</f>
        <v>0</v>
      </c>
      <c r="J12" s="62">
        <f>H12/(1+$I$38)</f>
        <v>0</v>
      </c>
      <c r="K12" s="62">
        <f>IF(J12=0,0,K11+J12)</f>
        <v>0</v>
      </c>
      <c r="L12" s="63">
        <f>IF(H12=0,0,M12/H12)</f>
        <v>0</v>
      </c>
      <c r="M12" s="62">
        <f>IF(N12=0,0,N12-N11)</f>
        <v>0</v>
      </c>
      <c r="N12" s="64">
        <f>IF(D11&gt;J32,((D11-D22-D23)*I25+(I35*D11)+(J29-J28)*I28+(J30-J29)*I29+(J31-J30)*I30+(J32-J31)*I31+(D11-J32)*I32)+(J38*(1+I38)-J38)+(D11-J38)*(1+I38)-(D11-J38),0)</f>
        <v>0</v>
      </c>
      <c r="P12" s="115"/>
      <c r="X12" s="114"/>
    </row>
    <row r="13" spans="3:24" ht="18" customHeight="1" x14ac:dyDescent="0.45">
      <c r="C13" s="165"/>
      <c r="E13" s="25"/>
      <c r="F13" s="25"/>
      <c r="X13" s="102"/>
    </row>
    <row r="14" spans="3:24" ht="18" customHeight="1" x14ac:dyDescent="0.35">
      <c r="C14" s="40"/>
      <c r="D14" s="166"/>
      <c r="E14" s="25"/>
      <c r="F14" s="25"/>
      <c r="G14" s="107"/>
      <c r="X14" s="102"/>
    </row>
    <row r="15" spans="3:24" ht="17.25" customHeight="1" x14ac:dyDescent="0.5">
      <c r="H15" s="100" t="s">
        <v>27</v>
      </c>
      <c r="I15" s="101"/>
      <c r="J15" s="101"/>
      <c r="X15" s="102"/>
    </row>
    <row r="16" spans="3:24" ht="16.5" customHeight="1" x14ac:dyDescent="0.4">
      <c r="C16" s="26"/>
      <c r="D16" s="27"/>
      <c r="H16" s="96"/>
      <c r="I16" s="96"/>
      <c r="J16" s="96"/>
      <c r="X16" s="102"/>
    </row>
    <row r="17" spans="3:24" ht="16" x14ac:dyDescent="0.4">
      <c r="C17" s="26"/>
      <c r="D17" s="28"/>
      <c r="H17" s="103"/>
      <c r="I17" s="101"/>
      <c r="J17" s="101"/>
      <c r="X17" s="102"/>
    </row>
    <row r="18" spans="3:24" ht="21" x14ac:dyDescent="0.5">
      <c r="C18" s="39" t="s">
        <v>62</v>
      </c>
      <c r="G18" s="23"/>
      <c r="H18" s="104"/>
      <c r="I18" s="105"/>
      <c r="J18" s="106" t="s">
        <v>4</v>
      </c>
      <c r="X18" s="102"/>
    </row>
    <row r="19" spans="3:24" x14ac:dyDescent="0.35">
      <c r="G19" s="23"/>
      <c r="H19" s="108" t="s">
        <v>16</v>
      </c>
      <c r="I19" s="109"/>
      <c r="J19" s="110">
        <v>114540</v>
      </c>
      <c r="X19" s="102"/>
    </row>
    <row r="20" spans="3:24" ht="14.25" customHeight="1" x14ac:dyDescent="0.4">
      <c r="C20" s="19" t="s">
        <v>50</v>
      </c>
      <c r="D20" s="31" t="s">
        <v>4</v>
      </c>
      <c r="G20" s="34"/>
      <c r="H20" s="112"/>
      <c r="I20" s="113"/>
      <c r="J20" s="113"/>
      <c r="K20" s="157"/>
      <c r="L20" s="157"/>
      <c r="M20" s="157"/>
      <c r="N20" s="157"/>
      <c r="O20" s="157"/>
      <c r="P20" s="157"/>
      <c r="X20" s="102"/>
    </row>
    <row r="21" spans="3:24" ht="16" x14ac:dyDescent="0.4">
      <c r="C21" s="17" t="s">
        <v>40</v>
      </c>
      <c r="D21" s="25">
        <f>D11</f>
        <v>0</v>
      </c>
      <c r="G21" s="123"/>
      <c r="H21" s="104"/>
      <c r="I21" s="105" t="s">
        <v>2</v>
      </c>
      <c r="J21" s="106" t="s">
        <v>3</v>
      </c>
      <c r="K21" s="128"/>
      <c r="L21" s="128"/>
      <c r="M21" s="128"/>
      <c r="N21" s="128"/>
      <c r="O21" s="128"/>
      <c r="P21" s="128"/>
      <c r="X21" s="102"/>
    </row>
    <row r="22" spans="3:24" ht="16" x14ac:dyDescent="0.4">
      <c r="C22" s="17" t="s">
        <v>1</v>
      </c>
      <c r="D22" s="25">
        <f>IF(D21*I22&gt;=J22,J22,D21*I22)</f>
        <v>0</v>
      </c>
      <c r="E22" s="32"/>
      <c r="F22" s="32"/>
      <c r="G22" s="23"/>
      <c r="H22" s="108" t="s">
        <v>1</v>
      </c>
      <c r="I22" s="109">
        <v>0.46</v>
      </c>
      <c r="J22" s="110">
        <v>95700</v>
      </c>
      <c r="K22" s="128"/>
      <c r="L22" s="128"/>
      <c r="M22" s="128"/>
      <c r="N22" s="128"/>
      <c r="O22" s="128"/>
      <c r="P22" s="128"/>
      <c r="X22" s="102"/>
    </row>
    <row r="23" spans="3:24" ht="16" x14ac:dyDescent="0.4">
      <c r="C23" s="18" t="s">
        <v>16</v>
      </c>
      <c r="D23" s="35">
        <f>IF(D11=0,0,J19)</f>
        <v>0</v>
      </c>
      <c r="G23" s="23"/>
      <c r="H23" s="112"/>
      <c r="I23" s="113"/>
      <c r="J23" s="113"/>
      <c r="K23" s="128"/>
      <c r="L23" s="128"/>
      <c r="M23" s="128"/>
      <c r="N23" s="128"/>
      <c r="O23" s="128"/>
      <c r="P23" s="128"/>
      <c r="X23" s="102"/>
    </row>
    <row r="24" spans="3:24" ht="16" customHeight="1" thickBot="1" x14ac:dyDescent="0.45">
      <c r="C24" s="77" t="s">
        <v>51</v>
      </c>
      <c r="D24" s="76">
        <f>IF(D21-D22-D23&lt;=0,0,D21-D22-D23)</f>
        <v>0</v>
      </c>
      <c r="G24" s="127"/>
      <c r="H24" s="104"/>
      <c r="I24" s="105" t="s">
        <v>2</v>
      </c>
      <c r="J24" s="116"/>
      <c r="K24" s="128"/>
      <c r="L24" s="128"/>
      <c r="M24" s="128"/>
      <c r="N24" s="128"/>
      <c r="O24" s="128"/>
      <c r="P24" s="128"/>
      <c r="X24" s="102"/>
    </row>
    <row r="25" spans="3:24" x14ac:dyDescent="0.35">
      <c r="D25" s="25"/>
      <c r="E25" s="34"/>
      <c r="F25" s="34"/>
      <c r="G25" s="23"/>
      <c r="H25" s="108" t="s">
        <v>7</v>
      </c>
      <c r="I25" s="109">
        <v>0.22</v>
      </c>
      <c r="J25" s="117"/>
      <c r="K25" s="128"/>
      <c r="L25" s="128"/>
      <c r="M25" s="128"/>
      <c r="N25" s="128"/>
      <c r="O25" s="128"/>
      <c r="P25" s="128"/>
      <c r="X25" s="102"/>
    </row>
    <row r="26" spans="3:24" ht="16" x14ac:dyDescent="0.4">
      <c r="C26" s="19" t="s">
        <v>52</v>
      </c>
      <c r="D26" s="42">
        <f>IF(D21&lt;J41,0,(D24)*I25)</f>
        <v>0</v>
      </c>
      <c r="E26" s="34"/>
      <c r="F26" s="34"/>
      <c r="G26" s="23"/>
      <c r="H26" s="112"/>
      <c r="I26" s="113"/>
      <c r="J26" s="113"/>
      <c r="K26" s="128"/>
      <c r="L26" s="128"/>
      <c r="M26" s="128"/>
      <c r="N26" s="128"/>
      <c r="O26" s="128"/>
      <c r="P26" s="128"/>
      <c r="X26" s="102"/>
    </row>
    <row r="27" spans="3:24" x14ac:dyDescent="0.35">
      <c r="E27" s="34"/>
      <c r="F27" s="34"/>
      <c r="G27" s="23"/>
      <c r="H27" s="104"/>
      <c r="I27" s="105" t="s">
        <v>2</v>
      </c>
      <c r="J27" s="106" t="s">
        <v>6</v>
      </c>
      <c r="K27" s="128"/>
      <c r="L27" s="128"/>
      <c r="M27" s="128"/>
      <c r="N27" s="128"/>
      <c r="O27" s="128"/>
      <c r="P27" s="128"/>
      <c r="X27" s="102"/>
    </row>
    <row r="28" spans="3:24" ht="16" x14ac:dyDescent="0.4">
      <c r="C28" s="19" t="s">
        <v>54</v>
      </c>
      <c r="D28" s="33"/>
      <c r="E28" s="34"/>
      <c r="F28" s="34"/>
      <c r="G28" s="23"/>
      <c r="H28" s="118" t="s">
        <v>5</v>
      </c>
      <c r="I28" s="119">
        <v>1.7000000000000001E-2</v>
      </c>
      <c r="J28" s="120">
        <v>226100</v>
      </c>
      <c r="K28" s="128"/>
      <c r="L28" s="128"/>
      <c r="M28" s="128"/>
      <c r="N28" s="128"/>
      <c r="O28" s="128"/>
      <c r="P28" s="128"/>
      <c r="X28" s="102"/>
    </row>
    <row r="29" spans="3:24" ht="16" x14ac:dyDescent="0.4">
      <c r="C29" s="17" t="s">
        <v>5</v>
      </c>
      <c r="D29" s="25">
        <f>IF(D21&lt;J28,0,IF(AND(D21&gt;=J28,D21&lt;=J29),D21-J28,IF(D21&gt;J29,J29-J28,0)))*I28</f>
        <v>0</v>
      </c>
      <c r="E29" s="34"/>
      <c r="F29" s="34"/>
      <c r="G29" s="23"/>
      <c r="H29" s="118" t="s">
        <v>8</v>
      </c>
      <c r="I29" s="119">
        <v>0.04</v>
      </c>
      <c r="J29" s="120">
        <v>318300</v>
      </c>
      <c r="K29" s="128"/>
      <c r="L29" s="128"/>
      <c r="M29" s="128"/>
      <c r="N29" s="128"/>
      <c r="O29" s="128"/>
      <c r="P29" s="128"/>
      <c r="X29" s="102"/>
    </row>
    <row r="30" spans="3:24" ht="16" customHeight="1" x14ac:dyDescent="0.4">
      <c r="C30" s="17" t="s">
        <v>8</v>
      </c>
      <c r="D30" s="25">
        <f>IF(D21&lt;J29,0,IF(AND(D21&gt;J29,D21&lt;=J30),D21-J29,IF(D21&gt;J30,J30-J29,0)))*I29</f>
        <v>0</v>
      </c>
      <c r="E30" s="34"/>
      <c r="F30" s="34"/>
      <c r="G30" s="23"/>
      <c r="H30" s="118" t="s">
        <v>9</v>
      </c>
      <c r="I30" s="119">
        <v>0.13700000000000001</v>
      </c>
      <c r="J30" s="120">
        <v>725050</v>
      </c>
      <c r="K30" s="128"/>
      <c r="L30" s="128"/>
      <c r="M30" s="128"/>
      <c r="N30" s="128"/>
      <c r="O30" s="128"/>
      <c r="P30" s="128"/>
      <c r="X30" s="102"/>
    </row>
    <row r="31" spans="3:24" ht="16" customHeight="1" x14ac:dyDescent="0.4">
      <c r="C31" s="17" t="s">
        <v>9</v>
      </c>
      <c r="D31" s="25">
        <f>IF($D$21&lt;J30,0,IF(AND($D$21&gt;J30,$D$21&lt;=J31),$D$21-J30,IF($D$21&gt;J31,J31-J30,0)))*I30</f>
        <v>0</v>
      </c>
      <c r="G31" s="23"/>
      <c r="H31" s="118" t="s">
        <v>10</v>
      </c>
      <c r="I31" s="119">
        <v>0.16800000000000001</v>
      </c>
      <c r="J31" s="120">
        <v>980100</v>
      </c>
      <c r="K31" s="128"/>
      <c r="L31" s="128"/>
      <c r="M31" s="128"/>
      <c r="N31" s="128"/>
      <c r="O31" s="128"/>
      <c r="P31" s="128"/>
      <c r="X31" s="102"/>
    </row>
    <row r="32" spans="3:24" ht="16" customHeight="1" x14ac:dyDescent="0.4">
      <c r="C32" s="17" t="s">
        <v>10</v>
      </c>
      <c r="D32" s="25">
        <f>IF($D$21&lt;J31,0,IF(AND($D$21&gt;J31,$D$21&lt;=J32),$D$21-J31,IF($D$21&gt;J32,J32-J31,0)))*I31</f>
        <v>0</v>
      </c>
      <c r="E32" s="34"/>
      <c r="F32" s="34"/>
      <c r="H32" s="108" t="s">
        <v>11</v>
      </c>
      <c r="I32" s="125">
        <v>0.17799999999999999</v>
      </c>
      <c r="J32" s="110">
        <v>1467200</v>
      </c>
      <c r="K32" s="128"/>
      <c r="L32" s="128"/>
      <c r="M32" s="128"/>
      <c r="N32" s="128"/>
      <c r="O32" s="128"/>
      <c r="P32" s="128"/>
      <c r="X32" s="102"/>
    </row>
    <row r="33" spans="3:24" ht="16.5" customHeight="1" x14ac:dyDescent="0.4">
      <c r="C33" s="18" t="s">
        <v>11</v>
      </c>
      <c r="D33" s="35">
        <f>IF(D21&lt;J32,0,(D21-J32))*I32</f>
        <v>0</v>
      </c>
      <c r="H33" s="112"/>
      <c r="I33" s="113"/>
      <c r="J33" s="113"/>
      <c r="K33" s="128"/>
      <c r="L33" s="128"/>
      <c r="M33" s="128"/>
      <c r="N33" s="128"/>
      <c r="O33" s="128"/>
      <c r="P33" s="128"/>
      <c r="X33" s="102"/>
    </row>
    <row r="34" spans="3:24" ht="16.5" customHeight="1" thickBot="1" x14ac:dyDescent="0.45">
      <c r="C34" s="77" t="s">
        <v>53</v>
      </c>
      <c r="D34" s="76">
        <f>SUM(D29:D33)</f>
        <v>0</v>
      </c>
      <c r="E34" s="36"/>
      <c r="F34" s="36"/>
      <c r="H34" s="104"/>
      <c r="I34" s="105" t="s">
        <v>13</v>
      </c>
      <c r="J34" s="106" t="s">
        <v>14</v>
      </c>
      <c r="K34" s="128"/>
      <c r="L34" s="128"/>
      <c r="M34" s="128"/>
      <c r="N34" s="128"/>
      <c r="O34" s="128"/>
      <c r="P34" s="128"/>
      <c r="X34" s="102"/>
    </row>
    <row r="35" spans="3:24" ht="16.5" customHeight="1" x14ac:dyDescent="0.35">
      <c r="E35" s="37"/>
      <c r="F35" s="37"/>
      <c r="H35" s="108" t="s">
        <v>12</v>
      </c>
      <c r="I35" s="125">
        <v>7.5999999999999998E-2</v>
      </c>
      <c r="J35" s="110">
        <v>99650</v>
      </c>
      <c r="K35" s="128"/>
      <c r="L35" s="128"/>
      <c r="M35" s="128"/>
      <c r="N35" s="128"/>
      <c r="O35" s="128"/>
      <c r="P35" s="128"/>
      <c r="X35" s="102"/>
    </row>
    <row r="36" spans="3:24" ht="16" x14ac:dyDescent="0.4">
      <c r="C36" s="45" t="s">
        <v>58</v>
      </c>
      <c r="D36" s="46">
        <f>D26+D34</f>
        <v>0</v>
      </c>
      <c r="E36" s="37"/>
      <c r="F36" s="37"/>
      <c r="H36" s="112"/>
      <c r="I36" s="113"/>
      <c r="J36" s="113"/>
      <c r="K36" s="128"/>
      <c r="L36" s="128"/>
      <c r="M36" s="128"/>
      <c r="N36" s="128"/>
      <c r="O36" s="128"/>
      <c r="P36" s="128"/>
      <c r="X36" s="102"/>
    </row>
    <row r="37" spans="3:24" ht="17.25" customHeight="1" x14ac:dyDescent="0.4">
      <c r="C37" s="17" t="s">
        <v>12</v>
      </c>
      <c r="D37" s="25">
        <f>IF(D21&lt;J35,0,IF((D21-J35)*0.25&lt;(D21*I35),(D21-J35)*0.25,D21*I35))</f>
        <v>0</v>
      </c>
      <c r="E37" s="36"/>
      <c r="F37" s="36"/>
      <c r="H37" s="104"/>
      <c r="I37" s="105" t="s">
        <v>2</v>
      </c>
      <c r="J37" s="106" t="s">
        <v>6</v>
      </c>
      <c r="K37" s="128"/>
      <c r="L37" s="128"/>
      <c r="M37" s="128"/>
      <c r="N37" s="128"/>
      <c r="O37" s="128"/>
      <c r="P37" s="128"/>
      <c r="V37" s="102"/>
      <c r="W37" s="102"/>
      <c r="X37" s="102"/>
    </row>
    <row r="38" spans="3:24" ht="17.25" customHeight="1" x14ac:dyDescent="0.4">
      <c r="C38" s="43" t="s">
        <v>46</v>
      </c>
      <c r="D38" s="44">
        <f>D11*(1+I38)-D11</f>
        <v>0</v>
      </c>
      <c r="E38" s="37"/>
      <c r="F38" s="37"/>
      <c r="H38" s="129" t="s">
        <v>15</v>
      </c>
      <c r="I38" s="125" cm="1">
        <f t="array" ref="I38">INDEX('Diagram marginalskatt'!B31:B36,MATCH('Lønn eller utbytte'!G11,'Diagram marginalskatt'!A31:A36,0),)</f>
        <v>0.14099999999999999</v>
      </c>
      <c r="J38" s="117">
        <v>1</v>
      </c>
      <c r="K38" s="128"/>
      <c r="L38" s="128"/>
      <c r="M38" s="128"/>
      <c r="N38" s="128"/>
      <c r="O38" s="128"/>
      <c r="P38" s="128"/>
    </row>
    <row r="39" spans="3:24" ht="17.25" customHeight="1" x14ac:dyDescent="0.4">
      <c r="C39" s="20" t="s">
        <v>55</v>
      </c>
      <c r="D39" s="74">
        <f>SUM(D36:D38)</f>
        <v>0</v>
      </c>
      <c r="E39" s="36"/>
      <c r="F39" s="36"/>
      <c r="H39" s="130"/>
      <c r="I39" s="119"/>
      <c r="J39" s="131"/>
      <c r="K39" s="128"/>
      <c r="L39" s="128"/>
      <c r="M39" s="128"/>
      <c r="N39" s="128"/>
      <c r="O39" s="128"/>
      <c r="P39" s="128"/>
    </row>
    <row r="40" spans="3:24" ht="16.5" customHeight="1" x14ac:dyDescent="0.35">
      <c r="H40" s="104"/>
      <c r="I40" s="132"/>
      <c r="J40" s="106" t="s">
        <v>14</v>
      </c>
      <c r="K40" s="128"/>
      <c r="L40" s="128"/>
      <c r="M40" s="128"/>
      <c r="N40" s="128"/>
      <c r="O40" s="128"/>
      <c r="P40" s="128"/>
    </row>
    <row r="41" spans="3:24" x14ac:dyDescent="0.35">
      <c r="C41" s="21" t="s">
        <v>65</v>
      </c>
      <c r="D41" s="25">
        <f>D21-D36-D37</f>
        <v>0</v>
      </c>
      <c r="E41" s="34"/>
      <c r="F41" s="34"/>
      <c r="H41" s="108" t="s">
        <v>18</v>
      </c>
      <c r="I41" s="135"/>
      <c r="J41" s="110">
        <v>147450</v>
      </c>
      <c r="K41" s="96"/>
      <c r="L41" s="96"/>
      <c r="M41" s="96"/>
      <c r="N41" s="158"/>
      <c r="O41" s="96"/>
      <c r="P41" s="96"/>
    </row>
    <row r="42" spans="3:24" x14ac:dyDescent="0.35">
      <c r="D42" s="38"/>
      <c r="E42" s="25"/>
      <c r="F42" s="25"/>
      <c r="H42" s="112"/>
      <c r="I42" s="113"/>
      <c r="J42" s="113"/>
    </row>
    <row r="43" spans="3:24" ht="18.5" x14ac:dyDescent="0.45">
      <c r="C43" s="41"/>
      <c r="E43" s="25"/>
      <c r="F43" s="25"/>
      <c r="H43" s="104"/>
      <c r="I43" s="105" t="s">
        <v>2</v>
      </c>
      <c r="J43" s="106" t="s">
        <v>6</v>
      </c>
    </row>
    <row r="44" spans="3:24" x14ac:dyDescent="0.35">
      <c r="H44" s="108" t="s">
        <v>17</v>
      </c>
      <c r="I44" s="137">
        <v>0.51519999999999999</v>
      </c>
      <c r="J44" s="117">
        <v>1</v>
      </c>
    </row>
    <row r="45" spans="3:24" ht="16" x14ac:dyDescent="0.4">
      <c r="C45" s="17"/>
      <c r="D45" s="162"/>
    </row>
    <row r="46" spans="3:24" ht="16" x14ac:dyDescent="0.4">
      <c r="C46" s="163"/>
      <c r="D46" s="164"/>
    </row>
    <row r="48" spans="3:24" ht="15.65" customHeight="1" x14ac:dyDescent="0.35">
      <c r="E48" s="25"/>
      <c r="F48" s="25"/>
    </row>
    <row r="49" spans="2:11" ht="15.65" customHeight="1" x14ac:dyDescent="0.35">
      <c r="D49" s="25"/>
      <c r="J49" s="155"/>
    </row>
    <row r="50" spans="2:11" x14ac:dyDescent="0.35">
      <c r="D50" s="25"/>
      <c r="J50" s="155"/>
    </row>
    <row r="51" spans="2:11" ht="19" customHeight="1" x14ac:dyDescent="0.35">
      <c r="D51" s="32"/>
      <c r="J51" s="155"/>
    </row>
    <row r="52" spans="2:11" ht="19" customHeight="1" x14ac:dyDescent="0.35">
      <c r="D52" s="25"/>
      <c r="E52" s="156"/>
      <c r="F52" s="156"/>
      <c r="I52" s="107"/>
      <c r="J52" s="155"/>
      <c r="K52" s="154"/>
    </row>
    <row r="53" spans="2:11" x14ac:dyDescent="0.35">
      <c r="C53" s="149"/>
      <c r="D53" s="151"/>
      <c r="H53" s="107"/>
      <c r="I53" s="107"/>
      <c r="J53" s="155"/>
      <c r="K53" s="23"/>
    </row>
    <row r="54" spans="2:11" x14ac:dyDescent="0.35">
      <c r="C54" s="150"/>
      <c r="D54" s="152"/>
      <c r="E54" s="25"/>
      <c r="F54" s="25"/>
      <c r="I54" s="107"/>
      <c r="J54" s="155"/>
      <c r="K54" s="376"/>
    </row>
    <row r="55" spans="2:11" x14ac:dyDescent="0.35">
      <c r="I55" s="107"/>
      <c r="J55" s="155"/>
      <c r="K55" s="376"/>
    </row>
    <row r="56" spans="2:11" ht="16" x14ac:dyDescent="0.4">
      <c r="B56" s="78"/>
      <c r="D56" s="25"/>
      <c r="I56" s="107"/>
      <c r="J56" s="155"/>
      <c r="K56" s="23"/>
    </row>
    <row r="57" spans="2:11" ht="16" x14ac:dyDescent="0.4">
      <c r="B57" s="66"/>
      <c r="I57" s="107"/>
      <c r="J57" s="155"/>
      <c r="K57" s="25"/>
    </row>
    <row r="58" spans="2:11" x14ac:dyDescent="0.35">
      <c r="C58" s="149"/>
      <c r="D58" s="151"/>
      <c r="I58" s="107"/>
      <c r="J58" s="155"/>
    </row>
    <row r="59" spans="2:11" x14ac:dyDescent="0.35">
      <c r="D59" s="25"/>
      <c r="I59" s="107"/>
      <c r="J59" s="155"/>
    </row>
    <row r="60" spans="2:11" x14ac:dyDescent="0.35">
      <c r="I60" s="107"/>
      <c r="J60" s="155"/>
    </row>
    <row r="61" spans="2:11" x14ac:dyDescent="0.35">
      <c r="D61" s="25"/>
      <c r="J61" s="155"/>
    </row>
    <row r="62" spans="2:11" x14ac:dyDescent="0.35">
      <c r="H62" s="75"/>
      <c r="J62" s="155"/>
    </row>
    <row r="63" spans="2:11" x14ac:dyDescent="0.35">
      <c r="C63" s="149"/>
      <c r="D63" s="151"/>
      <c r="J63" s="155"/>
    </row>
    <row r="64" spans="2:11" x14ac:dyDescent="0.35">
      <c r="D64" s="25"/>
      <c r="J64" s="155"/>
    </row>
    <row r="65" spans="3:10" x14ac:dyDescent="0.35">
      <c r="C65" s="150"/>
      <c r="D65" s="152"/>
      <c r="J65" s="155"/>
    </row>
    <row r="66" spans="3:10" x14ac:dyDescent="0.35">
      <c r="D66" s="25"/>
      <c r="J66" s="155"/>
    </row>
    <row r="67" spans="3:10" x14ac:dyDescent="0.35">
      <c r="J67" s="155"/>
    </row>
  </sheetData>
  <sheetProtection formatColumns="0" formatRows="0" insertRows="0" selectLockedCells="1"/>
  <mergeCells count="1">
    <mergeCell ref="K54:K5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35E69-0C4F-4369-B3BE-C819C4084F61}">
  <dimension ref="A1:I371"/>
  <sheetViews>
    <sheetView workbookViewId="0">
      <selection activeCell="H1" sqref="H1:H3"/>
    </sheetView>
  </sheetViews>
  <sheetFormatPr baseColWidth="10" defaultRowHeight="14.5" x14ac:dyDescent="0.35"/>
  <cols>
    <col min="1" max="1" width="32.7265625" bestFit="1" customWidth="1"/>
    <col min="4" max="4" width="54" bestFit="1" customWidth="1"/>
    <col min="5" max="5" width="11.81640625" bestFit="1" customWidth="1"/>
    <col min="7" max="7" width="15.54296875" customWidth="1"/>
    <col min="8" max="8" width="14.26953125" customWidth="1"/>
    <col min="9" max="9" width="16.1796875" customWidth="1"/>
    <col min="10" max="10" width="16.54296875" customWidth="1"/>
  </cols>
  <sheetData>
    <row r="1" spans="1:9" x14ac:dyDescent="0.35">
      <c r="A1" s="3" t="s">
        <v>105</v>
      </c>
      <c r="B1" s="3" t="s">
        <v>106</v>
      </c>
      <c r="C1" s="3" t="s">
        <v>30</v>
      </c>
      <c r="D1" s="3" t="s">
        <v>107</v>
      </c>
      <c r="E1" s="3" t="s">
        <v>108</v>
      </c>
      <c r="H1" s="3"/>
      <c r="I1" s="3"/>
    </row>
    <row r="2" spans="1:9" x14ac:dyDescent="0.35">
      <c r="A2" t="s">
        <v>109</v>
      </c>
      <c r="B2" t="s">
        <v>110</v>
      </c>
      <c r="C2">
        <v>2</v>
      </c>
      <c r="D2" t="s">
        <v>111</v>
      </c>
      <c r="E2">
        <v>4201</v>
      </c>
    </row>
    <row r="3" spans="1:9" x14ac:dyDescent="0.35">
      <c r="A3" t="s">
        <v>113</v>
      </c>
      <c r="B3" t="s">
        <v>110</v>
      </c>
      <c r="C3">
        <v>1</v>
      </c>
      <c r="E3">
        <v>4202</v>
      </c>
    </row>
    <row r="4" spans="1:9" x14ac:dyDescent="0.35">
      <c r="A4" t="s">
        <v>114</v>
      </c>
      <c r="B4" t="s">
        <v>110</v>
      </c>
      <c r="C4">
        <v>1</v>
      </c>
      <c r="E4">
        <v>4203</v>
      </c>
    </row>
    <row r="5" spans="1:9" x14ac:dyDescent="0.35">
      <c r="A5" t="s">
        <v>115</v>
      </c>
      <c r="B5" t="s">
        <v>110</v>
      </c>
      <c r="C5">
        <v>1</v>
      </c>
      <c r="E5">
        <v>4204</v>
      </c>
    </row>
    <row r="6" spans="1:9" x14ac:dyDescent="0.35">
      <c r="A6" t="s">
        <v>116</v>
      </c>
      <c r="B6" t="s">
        <v>110</v>
      </c>
      <c r="C6">
        <v>1</v>
      </c>
      <c r="E6">
        <v>4205</v>
      </c>
    </row>
    <row r="7" spans="1:9" x14ac:dyDescent="0.35">
      <c r="A7" t="s">
        <v>117</v>
      </c>
      <c r="B7" t="s">
        <v>110</v>
      </c>
      <c r="C7">
        <v>1</v>
      </c>
      <c r="E7">
        <v>4206</v>
      </c>
    </row>
    <row r="8" spans="1:9" x14ac:dyDescent="0.35">
      <c r="A8" t="s">
        <v>118</v>
      </c>
      <c r="B8" t="s">
        <v>110</v>
      </c>
      <c r="C8">
        <v>1</v>
      </c>
      <c r="E8">
        <v>4207</v>
      </c>
    </row>
    <row r="9" spans="1:9" x14ac:dyDescent="0.35">
      <c r="A9" t="s">
        <v>119</v>
      </c>
      <c r="B9" t="s">
        <v>110</v>
      </c>
      <c r="C9">
        <v>2</v>
      </c>
      <c r="E9">
        <v>4211</v>
      </c>
    </row>
    <row r="10" spans="1:9" x14ac:dyDescent="0.35">
      <c r="A10" t="s">
        <v>120</v>
      </c>
      <c r="B10" t="s">
        <v>110</v>
      </c>
      <c r="C10">
        <v>1</v>
      </c>
      <c r="E10">
        <v>4212</v>
      </c>
    </row>
    <row r="11" spans="1:9" x14ac:dyDescent="0.35">
      <c r="A11" t="s">
        <v>121</v>
      </c>
      <c r="B11" t="s">
        <v>110</v>
      </c>
      <c r="C11">
        <v>1</v>
      </c>
      <c r="D11" t="s">
        <v>111</v>
      </c>
      <c r="E11">
        <v>4213</v>
      </c>
    </row>
    <row r="12" spans="1:9" x14ac:dyDescent="0.35">
      <c r="A12" t="s">
        <v>122</v>
      </c>
      <c r="B12" t="s">
        <v>110</v>
      </c>
      <c r="C12">
        <v>1</v>
      </c>
      <c r="E12">
        <v>4214</v>
      </c>
    </row>
    <row r="13" spans="1:9" x14ac:dyDescent="0.35">
      <c r="A13" t="s">
        <v>123</v>
      </c>
      <c r="B13" t="s">
        <v>110</v>
      </c>
      <c r="C13">
        <v>1</v>
      </c>
      <c r="E13">
        <v>4215</v>
      </c>
    </row>
    <row r="14" spans="1:9" x14ac:dyDescent="0.35">
      <c r="A14" t="s">
        <v>124</v>
      </c>
      <c r="B14" t="s">
        <v>110</v>
      </c>
      <c r="C14">
        <v>1</v>
      </c>
      <c r="E14">
        <v>4216</v>
      </c>
    </row>
    <row r="15" spans="1:9" x14ac:dyDescent="0.35">
      <c r="A15" t="s">
        <v>125</v>
      </c>
      <c r="B15" t="s">
        <v>110</v>
      </c>
      <c r="C15">
        <v>2</v>
      </c>
      <c r="E15">
        <v>4217</v>
      </c>
    </row>
    <row r="16" spans="1:9" x14ac:dyDescent="0.35">
      <c r="A16" t="s">
        <v>126</v>
      </c>
      <c r="B16" t="s">
        <v>110</v>
      </c>
      <c r="C16" t="s">
        <v>127</v>
      </c>
      <c r="E16">
        <v>4218</v>
      </c>
    </row>
    <row r="17" spans="1:5" x14ac:dyDescent="0.35">
      <c r="A17" t="s">
        <v>128</v>
      </c>
      <c r="B17" t="s">
        <v>110</v>
      </c>
      <c r="C17">
        <v>2</v>
      </c>
      <c r="E17">
        <v>4219</v>
      </c>
    </row>
    <row r="18" spans="1:5" x14ac:dyDescent="0.35">
      <c r="A18" t="s">
        <v>129</v>
      </c>
      <c r="B18" t="s">
        <v>110</v>
      </c>
      <c r="C18">
        <v>2</v>
      </c>
      <c r="E18">
        <v>4220</v>
      </c>
    </row>
    <row r="19" spans="1:5" x14ac:dyDescent="0.35">
      <c r="A19" t="s">
        <v>130</v>
      </c>
      <c r="B19" t="s">
        <v>110</v>
      </c>
      <c r="C19">
        <v>2</v>
      </c>
      <c r="E19">
        <v>4221</v>
      </c>
    </row>
    <row r="20" spans="1:5" x14ac:dyDescent="0.35">
      <c r="A20" t="s">
        <v>131</v>
      </c>
      <c r="B20" t="s">
        <v>110</v>
      </c>
      <c r="C20">
        <v>2</v>
      </c>
      <c r="E20">
        <v>4222</v>
      </c>
    </row>
    <row r="21" spans="1:5" x14ac:dyDescent="0.35">
      <c r="A21" t="s">
        <v>132</v>
      </c>
      <c r="B21" t="s">
        <v>110</v>
      </c>
      <c r="C21">
        <v>1</v>
      </c>
      <c r="E21">
        <v>4223</v>
      </c>
    </row>
    <row r="22" spans="1:5" x14ac:dyDescent="0.35">
      <c r="A22" t="s">
        <v>133</v>
      </c>
      <c r="B22" t="s">
        <v>110</v>
      </c>
      <c r="C22">
        <v>2</v>
      </c>
      <c r="E22">
        <v>4224</v>
      </c>
    </row>
    <row r="23" spans="1:5" x14ac:dyDescent="0.35">
      <c r="A23" t="s">
        <v>134</v>
      </c>
      <c r="B23" t="s">
        <v>110</v>
      </c>
      <c r="C23" t="s">
        <v>127</v>
      </c>
      <c r="D23" t="s">
        <v>135</v>
      </c>
      <c r="E23">
        <v>4225</v>
      </c>
    </row>
    <row r="24" spans="1:5" x14ac:dyDescent="0.35">
      <c r="A24" t="s">
        <v>134</v>
      </c>
      <c r="B24" t="s">
        <v>110</v>
      </c>
      <c r="C24">
        <v>1</v>
      </c>
      <c r="E24">
        <v>4225</v>
      </c>
    </row>
    <row r="25" spans="1:5" x14ac:dyDescent="0.35">
      <c r="A25" t="s">
        <v>136</v>
      </c>
      <c r="B25" t="s">
        <v>110</v>
      </c>
      <c r="C25" t="s">
        <v>127</v>
      </c>
      <c r="E25">
        <v>4226</v>
      </c>
    </row>
    <row r="26" spans="1:5" x14ac:dyDescent="0.35">
      <c r="A26" t="s">
        <v>137</v>
      </c>
      <c r="B26" t="s">
        <v>110</v>
      </c>
      <c r="C26">
        <v>1</v>
      </c>
      <c r="E26">
        <v>4227</v>
      </c>
    </row>
    <row r="27" spans="1:5" x14ac:dyDescent="0.35">
      <c r="A27" t="s">
        <v>138</v>
      </c>
      <c r="B27" t="s">
        <v>110</v>
      </c>
      <c r="C27" t="s">
        <v>127</v>
      </c>
      <c r="E27">
        <v>4228</v>
      </c>
    </row>
    <row r="28" spans="1:5" x14ac:dyDescent="0.35">
      <c r="A28" t="s">
        <v>139</v>
      </c>
      <c r="B28" t="s">
        <v>140</v>
      </c>
      <c r="C28">
        <v>1</v>
      </c>
      <c r="E28">
        <v>3201</v>
      </c>
    </row>
    <row r="29" spans="1:5" x14ac:dyDescent="0.35">
      <c r="A29" t="s">
        <v>141</v>
      </c>
      <c r="B29" t="s">
        <v>140</v>
      </c>
      <c r="C29">
        <v>1</v>
      </c>
      <c r="E29">
        <v>3203</v>
      </c>
    </row>
    <row r="30" spans="1:5" x14ac:dyDescent="0.35">
      <c r="A30" t="s">
        <v>142</v>
      </c>
      <c r="B30" t="s">
        <v>140</v>
      </c>
      <c r="C30">
        <v>1</v>
      </c>
      <c r="E30">
        <v>3205</v>
      </c>
    </row>
    <row r="31" spans="1:5" x14ac:dyDescent="0.35">
      <c r="A31" t="s">
        <v>143</v>
      </c>
      <c r="B31" t="s">
        <v>140</v>
      </c>
      <c r="C31">
        <v>1</v>
      </c>
      <c r="E31">
        <v>3207</v>
      </c>
    </row>
    <row r="32" spans="1:5" x14ac:dyDescent="0.35">
      <c r="A32" t="s">
        <v>144</v>
      </c>
      <c r="B32" t="s">
        <v>140</v>
      </c>
      <c r="C32">
        <v>1</v>
      </c>
      <c r="E32">
        <v>3209</v>
      </c>
    </row>
    <row r="33" spans="1:5" x14ac:dyDescent="0.35">
      <c r="A33" t="s">
        <v>145</v>
      </c>
      <c r="B33" t="s">
        <v>140</v>
      </c>
      <c r="C33">
        <v>1</v>
      </c>
      <c r="E33">
        <v>3212</v>
      </c>
    </row>
    <row r="34" spans="1:5" x14ac:dyDescent="0.35">
      <c r="A34" t="s">
        <v>146</v>
      </c>
      <c r="B34" t="s">
        <v>140</v>
      </c>
      <c r="C34">
        <v>1</v>
      </c>
      <c r="E34">
        <v>3214</v>
      </c>
    </row>
    <row r="35" spans="1:5" x14ac:dyDescent="0.35">
      <c r="A35" t="s">
        <v>147</v>
      </c>
      <c r="B35" t="s">
        <v>140</v>
      </c>
      <c r="C35">
        <v>1</v>
      </c>
      <c r="E35">
        <v>3216</v>
      </c>
    </row>
    <row r="36" spans="1:5" x14ac:dyDescent="0.35">
      <c r="A36" t="s">
        <v>148</v>
      </c>
      <c r="B36" t="s">
        <v>140</v>
      </c>
      <c r="C36">
        <v>1</v>
      </c>
      <c r="E36">
        <v>3218</v>
      </c>
    </row>
    <row r="37" spans="1:5" x14ac:dyDescent="0.35">
      <c r="A37" t="s">
        <v>149</v>
      </c>
      <c r="B37" t="s">
        <v>140</v>
      </c>
      <c r="C37">
        <v>1</v>
      </c>
      <c r="E37">
        <v>3220</v>
      </c>
    </row>
    <row r="38" spans="1:5" x14ac:dyDescent="0.35">
      <c r="A38" t="s">
        <v>150</v>
      </c>
      <c r="B38" t="s">
        <v>140</v>
      </c>
      <c r="C38">
        <v>1</v>
      </c>
      <c r="E38">
        <v>3222</v>
      </c>
    </row>
    <row r="39" spans="1:5" x14ac:dyDescent="0.35">
      <c r="A39" t="s">
        <v>151</v>
      </c>
      <c r="B39" t="s">
        <v>140</v>
      </c>
      <c r="C39">
        <v>1</v>
      </c>
      <c r="E39">
        <v>3224</v>
      </c>
    </row>
    <row r="40" spans="1:5" x14ac:dyDescent="0.35">
      <c r="A40" t="s">
        <v>152</v>
      </c>
      <c r="B40" t="s">
        <v>140</v>
      </c>
      <c r="C40">
        <v>1</v>
      </c>
      <c r="E40">
        <v>3226</v>
      </c>
    </row>
    <row r="41" spans="1:5" x14ac:dyDescent="0.35">
      <c r="A41" t="s">
        <v>153</v>
      </c>
      <c r="B41" t="s">
        <v>140</v>
      </c>
      <c r="C41">
        <v>1</v>
      </c>
      <c r="E41">
        <v>3228</v>
      </c>
    </row>
    <row r="42" spans="1:5" x14ac:dyDescent="0.35">
      <c r="A42" t="s">
        <v>154</v>
      </c>
      <c r="B42" t="s">
        <v>140</v>
      </c>
      <c r="C42">
        <v>1</v>
      </c>
      <c r="E42">
        <v>3230</v>
      </c>
    </row>
    <row r="43" spans="1:5" x14ac:dyDescent="0.35">
      <c r="A43" t="s">
        <v>155</v>
      </c>
      <c r="B43" t="s">
        <v>140</v>
      </c>
      <c r="C43">
        <v>1</v>
      </c>
      <c r="E43">
        <v>3232</v>
      </c>
    </row>
    <row r="44" spans="1:5" x14ac:dyDescent="0.35">
      <c r="A44" t="s">
        <v>156</v>
      </c>
      <c r="B44" t="s">
        <v>140</v>
      </c>
      <c r="C44">
        <v>1</v>
      </c>
      <c r="E44">
        <v>3234</v>
      </c>
    </row>
    <row r="45" spans="1:5" x14ac:dyDescent="0.35">
      <c r="A45" t="s">
        <v>157</v>
      </c>
      <c r="B45" t="s">
        <v>140</v>
      </c>
      <c r="C45">
        <v>1</v>
      </c>
      <c r="E45">
        <v>3236</v>
      </c>
    </row>
    <row r="46" spans="1:5" x14ac:dyDescent="0.35">
      <c r="A46" t="s">
        <v>158</v>
      </c>
      <c r="B46" t="s">
        <v>140</v>
      </c>
      <c r="C46">
        <v>1</v>
      </c>
      <c r="E46">
        <v>3238</v>
      </c>
    </row>
    <row r="47" spans="1:5" x14ac:dyDescent="0.35">
      <c r="A47" t="s">
        <v>159</v>
      </c>
      <c r="B47" t="s">
        <v>140</v>
      </c>
      <c r="C47">
        <v>1</v>
      </c>
      <c r="E47">
        <v>3240</v>
      </c>
    </row>
    <row r="48" spans="1:5" x14ac:dyDescent="0.35">
      <c r="A48" t="s">
        <v>160</v>
      </c>
      <c r="B48" t="s">
        <v>140</v>
      </c>
      <c r="C48">
        <v>1</v>
      </c>
      <c r="E48">
        <v>3242</v>
      </c>
    </row>
    <row r="49" spans="1:5" x14ac:dyDescent="0.35">
      <c r="A49" t="s">
        <v>161</v>
      </c>
      <c r="B49" t="s">
        <v>162</v>
      </c>
      <c r="C49">
        <v>1</v>
      </c>
      <c r="E49">
        <v>3301</v>
      </c>
    </row>
    <row r="50" spans="1:5" x14ac:dyDescent="0.35">
      <c r="A50" t="s">
        <v>163</v>
      </c>
      <c r="B50" t="s">
        <v>162</v>
      </c>
      <c r="C50">
        <v>1</v>
      </c>
      <c r="E50">
        <v>3303</v>
      </c>
    </row>
    <row r="51" spans="1:5" x14ac:dyDescent="0.35">
      <c r="A51" t="s">
        <v>164</v>
      </c>
      <c r="B51" t="s">
        <v>162</v>
      </c>
      <c r="C51">
        <v>1</v>
      </c>
      <c r="E51">
        <v>3305</v>
      </c>
    </row>
    <row r="52" spans="1:5" x14ac:dyDescent="0.35">
      <c r="A52" t="s">
        <v>165</v>
      </c>
      <c r="B52" t="s">
        <v>162</v>
      </c>
      <c r="C52">
        <v>1</v>
      </c>
      <c r="E52">
        <v>3310</v>
      </c>
    </row>
    <row r="53" spans="1:5" x14ac:dyDescent="0.35">
      <c r="A53" t="s">
        <v>166</v>
      </c>
      <c r="B53" t="s">
        <v>162</v>
      </c>
      <c r="C53">
        <v>1</v>
      </c>
      <c r="E53">
        <v>3312</v>
      </c>
    </row>
    <row r="54" spans="1:5" x14ac:dyDescent="0.35">
      <c r="A54" t="s">
        <v>167</v>
      </c>
      <c r="B54" t="s">
        <v>162</v>
      </c>
      <c r="C54">
        <v>1</v>
      </c>
      <c r="E54">
        <v>3314</v>
      </c>
    </row>
    <row r="55" spans="1:5" x14ac:dyDescent="0.35">
      <c r="A55" t="s">
        <v>168</v>
      </c>
      <c r="B55" t="s">
        <v>162</v>
      </c>
      <c r="C55">
        <v>1</v>
      </c>
      <c r="E55">
        <v>3316</v>
      </c>
    </row>
    <row r="56" spans="1:5" x14ac:dyDescent="0.35">
      <c r="A56" t="s">
        <v>169</v>
      </c>
      <c r="B56" t="s">
        <v>162</v>
      </c>
      <c r="C56">
        <v>1</v>
      </c>
      <c r="E56">
        <v>3318</v>
      </c>
    </row>
    <row r="57" spans="1:5" x14ac:dyDescent="0.35">
      <c r="A57" t="s">
        <v>170</v>
      </c>
      <c r="B57" t="s">
        <v>162</v>
      </c>
      <c r="C57">
        <v>2</v>
      </c>
      <c r="E57">
        <v>3320</v>
      </c>
    </row>
    <row r="58" spans="1:5" x14ac:dyDescent="0.35">
      <c r="A58" t="s">
        <v>171</v>
      </c>
      <c r="B58" t="s">
        <v>162</v>
      </c>
      <c r="C58">
        <v>2</v>
      </c>
      <c r="E58">
        <v>3322</v>
      </c>
    </row>
    <row r="59" spans="1:5" x14ac:dyDescent="0.35">
      <c r="A59" t="s">
        <v>172</v>
      </c>
      <c r="B59" t="s">
        <v>162</v>
      </c>
      <c r="C59">
        <v>2</v>
      </c>
      <c r="E59">
        <v>3324</v>
      </c>
    </row>
    <row r="60" spans="1:5" x14ac:dyDescent="0.35">
      <c r="A60" t="s">
        <v>173</v>
      </c>
      <c r="B60" t="s">
        <v>162</v>
      </c>
      <c r="C60">
        <v>2</v>
      </c>
      <c r="E60">
        <v>3326</v>
      </c>
    </row>
    <row r="61" spans="1:5" x14ac:dyDescent="0.35">
      <c r="A61" t="s">
        <v>174</v>
      </c>
      <c r="B61" t="s">
        <v>162</v>
      </c>
      <c r="C61">
        <v>2</v>
      </c>
      <c r="E61">
        <v>3328</v>
      </c>
    </row>
    <row r="62" spans="1:5" x14ac:dyDescent="0.35">
      <c r="A62" t="s">
        <v>175</v>
      </c>
      <c r="B62" t="s">
        <v>162</v>
      </c>
      <c r="C62">
        <v>2</v>
      </c>
      <c r="E62">
        <v>3330</v>
      </c>
    </row>
    <row r="63" spans="1:5" x14ac:dyDescent="0.35">
      <c r="A63" t="s">
        <v>176</v>
      </c>
      <c r="B63" t="s">
        <v>162</v>
      </c>
      <c r="C63" t="s">
        <v>127</v>
      </c>
      <c r="E63">
        <v>3332</v>
      </c>
    </row>
    <row r="64" spans="1:5" x14ac:dyDescent="0.35">
      <c r="A64" t="s">
        <v>177</v>
      </c>
      <c r="B64" t="s">
        <v>162</v>
      </c>
      <c r="C64">
        <v>1</v>
      </c>
      <c r="E64">
        <v>3334</v>
      </c>
    </row>
    <row r="65" spans="1:5" x14ac:dyDescent="0.35">
      <c r="A65" t="s">
        <v>178</v>
      </c>
      <c r="B65" t="s">
        <v>162</v>
      </c>
      <c r="C65">
        <v>2</v>
      </c>
      <c r="E65">
        <v>3336</v>
      </c>
    </row>
    <row r="66" spans="1:5" x14ac:dyDescent="0.35">
      <c r="A66" t="s">
        <v>179</v>
      </c>
      <c r="B66" t="s">
        <v>162</v>
      </c>
      <c r="C66">
        <v>2</v>
      </c>
      <c r="E66">
        <v>3338</v>
      </c>
    </row>
    <row r="67" spans="1:5" x14ac:dyDescent="0.35">
      <c r="A67" t="s">
        <v>180</v>
      </c>
      <c r="B67" t="s">
        <v>181</v>
      </c>
      <c r="C67">
        <v>5</v>
      </c>
      <c r="E67">
        <v>5601</v>
      </c>
    </row>
    <row r="68" spans="1:5" x14ac:dyDescent="0.35">
      <c r="A68" t="s">
        <v>182</v>
      </c>
      <c r="B68" t="s">
        <v>181</v>
      </c>
      <c r="C68">
        <v>5</v>
      </c>
      <c r="E68">
        <v>5603</v>
      </c>
    </row>
    <row r="69" spans="1:5" x14ac:dyDescent="0.35">
      <c r="A69" t="s">
        <v>183</v>
      </c>
      <c r="B69" t="s">
        <v>181</v>
      </c>
      <c r="C69">
        <v>5</v>
      </c>
      <c r="E69">
        <v>5605</v>
      </c>
    </row>
    <row r="70" spans="1:5" x14ac:dyDescent="0.35">
      <c r="A70" t="s">
        <v>184</v>
      </c>
      <c r="B70" t="s">
        <v>181</v>
      </c>
      <c r="C70">
        <v>5</v>
      </c>
      <c r="E70">
        <v>5607</v>
      </c>
    </row>
    <row r="71" spans="1:5" x14ac:dyDescent="0.35">
      <c r="A71" t="s">
        <v>185</v>
      </c>
      <c r="B71" t="s">
        <v>181</v>
      </c>
      <c r="C71">
        <v>5</v>
      </c>
      <c r="E71">
        <v>5610</v>
      </c>
    </row>
    <row r="72" spans="1:5" x14ac:dyDescent="0.35">
      <c r="A72" t="s">
        <v>186</v>
      </c>
      <c r="B72" t="s">
        <v>181</v>
      </c>
      <c r="C72">
        <v>5</v>
      </c>
      <c r="E72">
        <v>5612</v>
      </c>
    </row>
    <row r="73" spans="1:5" x14ac:dyDescent="0.35">
      <c r="A73" t="s">
        <v>187</v>
      </c>
      <c r="B73" t="s">
        <v>181</v>
      </c>
      <c r="C73">
        <v>5</v>
      </c>
      <c r="E73">
        <v>5614</v>
      </c>
    </row>
    <row r="74" spans="1:5" x14ac:dyDescent="0.35">
      <c r="A74" t="s">
        <v>188</v>
      </c>
      <c r="B74" t="s">
        <v>181</v>
      </c>
      <c r="C74">
        <v>5</v>
      </c>
      <c r="E74">
        <v>5616</v>
      </c>
    </row>
    <row r="75" spans="1:5" x14ac:dyDescent="0.35">
      <c r="A75" t="s">
        <v>189</v>
      </c>
      <c r="B75" t="s">
        <v>181</v>
      </c>
      <c r="C75">
        <v>5</v>
      </c>
      <c r="E75">
        <v>5618</v>
      </c>
    </row>
    <row r="76" spans="1:5" x14ac:dyDescent="0.35">
      <c r="A76" t="s">
        <v>190</v>
      </c>
      <c r="B76" t="s">
        <v>181</v>
      </c>
      <c r="C76">
        <v>5</v>
      </c>
      <c r="E76">
        <v>5620</v>
      </c>
    </row>
    <row r="77" spans="1:5" x14ac:dyDescent="0.35">
      <c r="A77" t="s">
        <v>191</v>
      </c>
      <c r="B77" t="s">
        <v>181</v>
      </c>
      <c r="C77">
        <v>5</v>
      </c>
      <c r="E77">
        <v>5622</v>
      </c>
    </row>
    <row r="78" spans="1:5" x14ac:dyDescent="0.35">
      <c r="A78" t="s">
        <v>192</v>
      </c>
      <c r="B78" t="s">
        <v>181</v>
      </c>
      <c r="C78">
        <v>5</v>
      </c>
      <c r="E78">
        <v>5624</v>
      </c>
    </row>
    <row r="79" spans="1:5" x14ac:dyDescent="0.35">
      <c r="A79" t="s">
        <v>193</v>
      </c>
      <c r="B79" t="s">
        <v>181</v>
      </c>
      <c r="C79">
        <v>5</v>
      </c>
      <c r="E79">
        <v>5626</v>
      </c>
    </row>
    <row r="80" spans="1:5" x14ac:dyDescent="0.35">
      <c r="A80" t="s">
        <v>194</v>
      </c>
      <c r="B80" t="s">
        <v>181</v>
      </c>
      <c r="C80">
        <v>5</v>
      </c>
      <c r="E80">
        <v>5628</v>
      </c>
    </row>
    <row r="81" spans="1:5" x14ac:dyDescent="0.35">
      <c r="A81" t="s">
        <v>195</v>
      </c>
      <c r="B81" t="s">
        <v>181</v>
      </c>
      <c r="C81">
        <v>5</v>
      </c>
      <c r="E81">
        <v>5630</v>
      </c>
    </row>
    <row r="82" spans="1:5" x14ac:dyDescent="0.35">
      <c r="A82" t="s">
        <v>196</v>
      </c>
      <c r="B82" t="s">
        <v>181</v>
      </c>
      <c r="C82">
        <v>5</v>
      </c>
      <c r="E82">
        <v>5632</v>
      </c>
    </row>
    <row r="83" spans="1:5" x14ac:dyDescent="0.35">
      <c r="A83" t="s">
        <v>197</v>
      </c>
      <c r="B83" t="s">
        <v>181</v>
      </c>
      <c r="C83">
        <v>5</v>
      </c>
      <c r="E83">
        <v>5634</v>
      </c>
    </row>
    <row r="84" spans="1:5" x14ac:dyDescent="0.35">
      <c r="A84" t="s">
        <v>198</v>
      </c>
      <c r="B84" t="s">
        <v>181</v>
      </c>
      <c r="C84">
        <v>5</v>
      </c>
      <c r="E84">
        <v>5636</v>
      </c>
    </row>
    <row r="85" spans="1:5" x14ac:dyDescent="0.35">
      <c r="A85" t="s">
        <v>199</v>
      </c>
      <c r="B85" t="s">
        <v>200</v>
      </c>
      <c r="C85">
        <v>2</v>
      </c>
      <c r="E85">
        <v>3401</v>
      </c>
    </row>
    <row r="86" spans="1:5" x14ac:dyDescent="0.35">
      <c r="A86" t="s">
        <v>201</v>
      </c>
      <c r="B86" t="s">
        <v>200</v>
      </c>
      <c r="C86">
        <v>1</v>
      </c>
      <c r="E86">
        <v>3403</v>
      </c>
    </row>
    <row r="87" spans="1:5" x14ac:dyDescent="0.35">
      <c r="A87" t="s">
        <v>202</v>
      </c>
      <c r="B87" t="s">
        <v>200</v>
      </c>
      <c r="C87">
        <v>1</v>
      </c>
      <c r="E87">
        <v>3405</v>
      </c>
    </row>
    <row r="88" spans="1:5" x14ac:dyDescent="0.35">
      <c r="A88" t="s">
        <v>203</v>
      </c>
      <c r="B88" t="s">
        <v>200</v>
      </c>
      <c r="C88">
        <v>1</v>
      </c>
      <c r="E88">
        <v>3407</v>
      </c>
    </row>
    <row r="89" spans="1:5" x14ac:dyDescent="0.35">
      <c r="A89" t="s">
        <v>204</v>
      </c>
      <c r="B89" t="s">
        <v>200</v>
      </c>
      <c r="C89">
        <v>1</v>
      </c>
      <c r="E89">
        <v>3411</v>
      </c>
    </row>
    <row r="90" spans="1:5" x14ac:dyDescent="0.35">
      <c r="A90" t="s">
        <v>205</v>
      </c>
      <c r="B90" t="s">
        <v>200</v>
      </c>
      <c r="C90">
        <v>1</v>
      </c>
      <c r="E90">
        <v>3412</v>
      </c>
    </row>
    <row r="91" spans="1:5" x14ac:dyDescent="0.35">
      <c r="A91" t="s">
        <v>206</v>
      </c>
      <c r="B91" t="s">
        <v>200</v>
      </c>
      <c r="C91">
        <v>1</v>
      </c>
      <c r="E91">
        <v>3413</v>
      </c>
    </row>
    <row r="92" spans="1:5" x14ac:dyDescent="0.35">
      <c r="A92" t="s">
        <v>207</v>
      </c>
      <c r="B92" t="s">
        <v>200</v>
      </c>
      <c r="C92">
        <v>2</v>
      </c>
      <c r="E92">
        <v>3414</v>
      </c>
    </row>
    <row r="93" spans="1:5" x14ac:dyDescent="0.35">
      <c r="A93" t="s">
        <v>208</v>
      </c>
      <c r="B93" t="s">
        <v>200</v>
      </c>
      <c r="C93">
        <v>2</v>
      </c>
      <c r="E93">
        <v>3415</v>
      </c>
    </row>
    <row r="94" spans="1:5" x14ac:dyDescent="0.35">
      <c r="A94" t="s">
        <v>209</v>
      </c>
      <c r="B94" t="s">
        <v>200</v>
      </c>
      <c r="C94">
        <v>2</v>
      </c>
      <c r="E94">
        <v>3416</v>
      </c>
    </row>
    <row r="95" spans="1:5" x14ac:dyDescent="0.35">
      <c r="A95" t="s">
        <v>210</v>
      </c>
      <c r="B95" t="s">
        <v>200</v>
      </c>
      <c r="C95">
        <v>2</v>
      </c>
      <c r="E95">
        <v>3417</v>
      </c>
    </row>
    <row r="96" spans="1:5" x14ac:dyDescent="0.35">
      <c r="A96" t="s">
        <v>211</v>
      </c>
      <c r="B96" t="s">
        <v>200</v>
      </c>
      <c r="C96">
        <v>2</v>
      </c>
      <c r="E96">
        <v>3418</v>
      </c>
    </row>
    <row r="97" spans="1:5" x14ac:dyDescent="0.35">
      <c r="A97" t="s">
        <v>212</v>
      </c>
      <c r="B97" t="s">
        <v>200</v>
      </c>
      <c r="C97">
        <v>2</v>
      </c>
      <c r="E97">
        <v>3419</v>
      </c>
    </row>
    <row r="98" spans="1:5" x14ac:dyDescent="0.35">
      <c r="A98" t="s">
        <v>213</v>
      </c>
      <c r="B98" t="s">
        <v>200</v>
      </c>
      <c r="C98">
        <v>1</v>
      </c>
      <c r="E98">
        <v>3420</v>
      </c>
    </row>
    <row r="99" spans="1:5" x14ac:dyDescent="0.35">
      <c r="A99" t="s">
        <v>214</v>
      </c>
      <c r="B99" t="s">
        <v>200</v>
      </c>
      <c r="C99">
        <v>2</v>
      </c>
      <c r="E99">
        <v>3421</v>
      </c>
    </row>
    <row r="100" spans="1:5" x14ac:dyDescent="0.35">
      <c r="A100" t="s">
        <v>215</v>
      </c>
      <c r="B100" t="s">
        <v>200</v>
      </c>
      <c r="C100">
        <v>2</v>
      </c>
      <c r="E100">
        <v>3422</v>
      </c>
    </row>
    <row r="101" spans="1:5" x14ac:dyDescent="0.35">
      <c r="A101" t="s">
        <v>216</v>
      </c>
      <c r="B101" t="s">
        <v>200</v>
      </c>
      <c r="C101">
        <v>3</v>
      </c>
      <c r="E101">
        <v>3423</v>
      </c>
    </row>
    <row r="102" spans="1:5" x14ac:dyDescent="0.35">
      <c r="A102" t="s">
        <v>217</v>
      </c>
      <c r="B102" t="s">
        <v>200</v>
      </c>
      <c r="C102">
        <v>3</v>
      </c>
      <c r="E102">
        <v>3424</v>
      </c>
    </row>
    <row r="103" spans="1:5" x14ac:dyDescent="0.35">
      <c r="A103" t="s">
        <v>218</v>
      </c>
      <c r="B103" t="s">
        <v>200</v>
      </c>
      <c r="C103">
        <v>3</v>
      </c>
      <c r="E103">
        <v>3425</v>
      </c>
    </row>
    <row r="104" spans="1:5" x14ac:dyDescent="0.35">
      <c r="A104" t="s">
        <v>219</v>
      </c>
      <c r="B104" t="s">
        <v>200</v>
      </c>
      <c r="C104">
        <v>3</v>
      </c>
      <c r="E104">
        <v>3426</v>
      </c>
    </row>
    <row r="105" spans="1:5" x14ac:dyDescent="0.35">
      <c r="A105" t="s">
        <v>220</v>
      </c>
      <c r="B105" t="s">
        <v>200</v>
      </c>
      <c r="C105">
        <v>3</v>
      </c>
      <c r="E105">
        <v>3427</v>
      </c>
    </row>
    <row r="106" spans="1:5" x14ac:dyDescent="0.35">
      <c r="A106" t="s">
        <v>221</v>
      </c>
      <c r="B106" t="s">
        <v>200</v>
      </c>
      <c r="C106">
        <v>3</v>
      </c>
      <c r="E106">
        <v>3428</v>
      </c>
    </row>
    <row r="107" spans="1:5" x14ac:dyDescent="0.35">
      <c r="A107" t="s">
        <v>222</v>
      </c>
      <c r="B107" t="s">
        <v>200</v>
      </c>
      <c r="C107">
        <v>3</v>
      </c>
      <c r="E107">
        <v>3429</v>
      </c>
    </row>
    <row r="108" spans="1:5" x14ac:dyDescent="0.35">
      <c r="A108" t="s">
        <v>223</v>
      </c>
      <c r="B108" t="s">
        <v>200</v>
      </c>
      <c r="C108">
        <v>3</v>
      </c>
      <c r="E108">
        <v>3430</v>
      </c>
    </row>
    <row r="109" spans="1:5" x14ac:dyDescent="0.35">
      <c r="A109" t="s">
        <v>224</v>
      </c>
      <c r="B109" t="s">
        <v>200</v>
      </c>
      <c r="C109">
        <v>3</v>
      </c>
      <c r="E109">
        <v>3431</v>
      </c>
    </row>
    <row r="110" spans="1:5" x14ac:dyDescent="0.35">
      <c r="A110" t="s">
        <v>225</v>
      </c>
      <c r="B110" t="s">
        <v>200</v>
      </c>
      <c r="C110">
        <v>3</v>
      </c>
      <c r="E110">
        <v>3432</v>
      </c>
    </row>
    <row r="111" spans="1:5" x14ac:dyDescent="0.35">
      <c r="A111" t="s">
        <v>226</v>
      </c>
      <c r="B111" t="s">
        <v>200</v>
      </c>
      <c r="C111">
        <v>3</v>
      </c>
      <c r="E111">
        <v>3433</v>
      </c>
    </row>
    <row r="112" spans="1:5" x14ac:dyDescent="0.35">
      <c r="A112" t="s">
        <v>227</v>
      </c>
      <c r="B112" t="s">
        <v>200</v>
      </c>
      <c r="C112">
        <v>3</v>
      </c>
      <c r="E112">
        <v>3434</v>
      </c>
    </row>
    <row r="113" spans="1:5" x14ac:dyDescent="0.35">
      <c r="A113" t="s">
        <v>228</v>
      </c>
      <c r="B113" t="s">
        <v>200</v>
      </c>
      <c r="C113">
        <v>3</v>
      </c>
      <c r="E113">
        <v>3435</v>
      </c>
    </row>
    <row r="114" spans="1:5" x14ac:dyDescent="0.35">
      <c r="A114" t="s">
        <v>229</v>
      </c>
      <c r="B114" t="s">
        <v>200</v>
      </c>
      <c r="C114">
        <v>2</v>
      </c>
      <c r="E114">
        <v>3436</v>
      </c>
    </row>
    <row r="115" spans="1:5" x14ac:dyDescent="0.35">
      <c r="A115" t="s">
        <v>230</v>
      </c>
      <c r="B115" t="s">
        <v>200</v>
      </c>
      <c r="C115">
        <v>3</v>
      </c>
      <c r="E115">
        <v>3437</v>
      </c>
    </row>
    <row r="116" spans="1:5" x14ac:dyDescent="0.35">
      <c r="A116" t="s">
        <v>231</v>
      </c>
      <c r="B116" t="s">
        <v>200</v>
      </c>
      <c r="C116">
        <v>2</v>
      </c>
      <c r="E116">
        <v>3438</v>
      </c>
    </row>
    <row r="117" spans="1:5" x14ac:dyDescent="0.35">
      <c r="A117" t="s">
        <v>232</v>
      </c>
      <c r="B117" t="s">
        <v>200</v>
      </c>
      <c r="C117">
        <v>2</v>
      </c>
      <c r="E117">
        <v>3439</v>
      </c>
    </row>
    <row r="118" spans="1:5" x14ac:dyDescent="0.35">
      <c r="A118" t="s">
        <v>233</v>
      </c>
      <c r="B118" t="s">
        <v>200</v>
      </c>
      <c r="C118">
        <v>1</v>
      </c>
      <c r="E118">
        <v>3440</v>
      </c>
    </row>
    <row r="119" spans="1:5" x14ac:dyDescent="0.35">
      <c r="A119" t="s">
        <v>234</v>
      </c>
      <c r="B119" t="s">
        <v>200</v>
      </c>
      <c r="C119" t="s">
        <v>127</v>
      </c>
      <c r="E119">
        <v>3441</v>
      </c>
    </row>
    <row r="120" spans="1:5" x14ac:dyDescent="0.35">
      <c r="A120" t="s">
        <v>235</v>
      </c>
      <c r="B120" t="s">
        <v>200</v>
      </c>
      <c r="C120">
        <v>1</v>
      </c>
      <c r="E120">
        <v>3442</v>
      </c>
    </row>
    <row r="121" spans="1:5" x14ac:dyDescent="0.35">
      <c r="A121" t="s">
        <v>236</v>
      </c>
      <c r="B121" t="s">
        <v>200</v>
      </c>
      <c r="C121">
        <v>1</v>
      </c>
      <c r="E121">
        <v>3443</v>
      </c>
    </row>
    <row r="122" spans="1:5" x14ac:dyDescent="0.35">
      <c r="A122" t="s">
        <v>237</v>
      </c>
      <c r="B122" t="s">
        <v>200</v>
      </c>
      <c r="C122">
        <v>1</v>
      </c>
      <c r="E122">
        <v>3446</v>
      </c>
    </row>
    <row r="123" spans="1:5" x14ac:dyDescent="0.35">
      <c r="A123" t="s">
        <v>238</v>
      </c>
      <c r="B123" t="s">
        <v>200</v>
      </c>
      <c r="C123">
        <v>2</v>
      </c>
      <c r="E123">
        <v>3447</v>
      </c>
    </row>
    <row r="124" spans="1:5" x14ac:dyDescent="0.35">
      <c r="A124" t="s">
        <v>239</v>
      </c>
      <c r="B124" t="s">
        <v>200</v>
      </c>
      <c r="C124">
        <v>2</v>
      </c>
      <c r="E124">
        <v>3448</v>
      </c>
    </row>
    <row r="125" spans="1:5" x14ac:dyDescent="0.35">
      <c r="A125" t="s">
        <v>240</v>
      </c>
      <c r="B125" t="s">
        <v>200</v>
      </c>
      <c r="C125">
        <v>3</v>
      </c>
      <c r="E125">
        <v>3449</v>
      </c>
    </row>
    <row r="126" spans="1:5" x14ac:dyDescent="0.35">
      <c r="A126" t="s">
        <v>241</v>
      </c>
      <c r="B126" t="s">
        <v>200</v>
      </c>
      <c r="C126">
        <v>3</v>
      </c>
      <c r="E126">
        <v>3450</v>
      </c>
    </row>
    <row r="127" spans="1:5" x14ac:dyDescent="0.35">
      <c r="A127" t="s">
        <v>242</v>
      </c>
      <c r="B127" t="s">
        <v>200</v>
      </c>
      <c r="C127">
        <v>3</v>
      </c>
      <c r="E127">
        <v>3451</v>
      </c>
    </row>
    <row r="128" spans="1:5" x14ac:dyDescent="0.35">
      <c r="A128" t="s">
        <v>243</v>
      </c>
      <c r="B128" t="s">
        <v>200</v>
      </c>
      <c r="C128">
        <v>3</v>
      </c>
      <c r="E128">
        <v>3452</v>
      </c>
    </row>
    <row r="129" spans="1:5" x14ac:dyDescent="0.35">
      <c r="A129" t="s">
        <v>244</v>
      </c>
      <c r="B129" t="s">
        <v>200</v>
      </c>
      <c r="C129">
        <v>3</v>
      </c>
      <c r="E129">
        <v>3453</v>
      </c>
    </row>
    <row r="130" spans="1:5" x14ac:dyDescent="0.35">
      <c r="A130" t="s">
        <v>245</v>
      </c>
      <c r="B130" t="s">
        <v>200</v>
      </c>
      <c r="C130">
        <v>3</v>
      </c>
      <c r="E130">
        <v>3454</v>
      </c>
    </row>
    <row r="131" spans="1:5" x14ac:dyDescent="0.35">
      <c r="A131" t="s">
        <v>246</v>
      </c>
      <c r="B131" t="s">
        <v>247</v>
      </c>
      <c r="C131">
        <v>1</v>
      </c>
      <c r="E131">
        <v>1505</v>
      </c>
    </row>
    <row r="132" spans="1:5" x14ac:dyDescent="0.35">
      <c r="A132" t="s">
        <v>248</v>
      </c>
      <c r="B132" t="s">
        <v>247</v>
      </c>
      <c r="C132">
        <v>2</v>
      </c>
      <c r="D132" t="s">
        <v>249</v>
      </c>
      <c r="E132">
        <v>1506</v>
      </c>
    </row>
    <row r="133" spans="1:5" x14ac:dyDescent="0.35">
      <c r="A133" t="s">
        <v>248</v>
      </c>
      <c r="B133" t="s">
        <v>247</v>
      </c>
      <c r="C133">
        <v>1</v>
      </c>
      <c r="E133">
        <v>1506</v>
      </c>
    </row>
    <row r="134" spans="1:5" x14ac:dyDescent="0.35">
      <c r="A134" t="s">
        <v>250</v>
      </c>
      <c r="B134" t="s">
        <v>247</v>
      </c>
      <c r="C134">
        <v>2</v>
      </c>
      <c r="D134" t="s">
        <v>251</v>
      </c>
      <c r="E134">
        <v>1508</v>
      </c>
    </row>
    <row r="135" spans="1:5" x14ac:dyDescent="0.35">
      <c r="A135" t="s">
        <v>250</v>
      </c>
      <c r="B135" t="s">
        <v>247</v>
      </c>
      <c r="C135">
        <v>1</v>
      </c>
      <c r="E135">
        <v>1508</v>
      </c>
    </row>
    <row r="136" spans="1:5" x14ac:dyDescent="0.35">
      <c r="A136" t="s">
        <v>252</v>
      </c>
      <c r="B136" t="s">
        <v>247</v>
      </c>
      <c r="C136">
        <v>3</v>
      </c>
      <c r="E136">
        <v>1511</v>
      </c>
    </row>
    <row r="137" spans="1:5" x14ac:dyDescent="0.35">
      <c r="A137" t="s">
        <v>253</v>
      </c>
      <c r="B137" t="s">
        <v>247</v>
      </c>
      <c r="C137">
        <v>2</v>
      </c>
      <c r="E137">
        <v>1514</v>
      </c>
    </row>
    <row r="138" spans="1:5" x14ac:dyDescent="0.35">
      <c r="A138" t="s">
        <v>254</v>
      </c>
      <c r="B138" t="s">
        <v>247</v>
      </c>
      <c r="C138">
        <v>1</v>
      </c>
      <c r="E138">
        <v>1515</v>
      </c>
    </row>
    <row r="139" spans="1:5" x14ac:dyDescent="0.35">
      <c r="A139" t="s">
        <v>255</v>
      </c>
      <c r="B139" t="s">
        <v>247</v>
      </c>
      <c r="C139">
        <v>1</v>
      </c>
      <c r="E139">
        <v>1516</v>
      </c>
    </row>
    <row r="140" spans="1:5" x14ac:dyDescent="0.35">
      <c r="A140" t="s">
        <v>256</v>
      </c>
      <c r="B140" t="s">
        <v>247</v>
      </c>
      <c r="C140">
        <v>1</v>
      </c>
      <c r="E140">
        <v>1517</v>
      </c>
    </row>
    <row r="141" spans="1:5" x14ac:dyDescent="0.35">
      <c r="A141" t="s">
        <v>257</v>
      </c>
      <c r="B141" t="s">
        <v>247</v>
      </c>
      <c r="C141">
        <v>1</v>
      </c>
      <c r="E141">
        <v>1520</v>
      </c>
    </row>
    <row r="142" spans="1:5" x14ac:dyDescent="0.35">
      <c r="A142" t="s">
        <v>258</v>
      </c>
      <c r="B142" t="s">
        <v>247</v>
      </c>
      <c r="C142">
        <v>2</v>
      </c>
      <c r="E142">
        <v>1525</v>
      </c>
    </row>
    <row r="143" spans="1:5" x14ac:dyDescent="0.35">
      <c r="A143" t="s">
        <v>259</v>
      </c>
      <c r="B143" t="s">
        <v>247</v>
      </c>
      <c r="C143">
        <v>2</v>
      </c>
      <c r="E143">
        <v>1528</v>
      </c>
    </row>
    <row r="144" spans="1:5" x14ac:dyDescent="0.35">
      <c r="A144" t="s">
        <v>260</v>
      </c>
      <c r="B144" t="s">
        <v>247</v>
      </c>
      <c r="C144">
        <v>1</v>
      </c>
      <c r="E144">
        <v>1531</v>
      </c>
    </row>
    <row r="145" spans="1:5" x14ac:dyDescent="0.35">
      <c r="A145" t="s">
        <v>261</v>
      </c>
      <c r="B145" t="s">
        <v>247</v>
      </c>
      <c r="C145">
        <v>1</v>
      </c>
      <c r="E145">
        <v>1532</v>
      </c>
    </row>
    <row r="146" spans="1:5" x14ac:dyDescent="0.35">
      <c r="A146" t="s">
        <v>262</v>
      </c>
      <c r="B146" t="s">
        <v>247</v>
      </c>
      <c r="C146">
        <v>2</v>
      </c>
      <c r="E146">
        <v>1535</v>
      </c>
    </row>
    <row r="147" spans="1:5" x14ac:dyDescent="0.35">
      <c r="A147" t="s">
        <v>263</v>
      </c>
      <c r="B147" t="s">
        <v>247</v>
      </c>
      <c r="C147">
        <v>2</v>
      </c>
      <c r="E147">
        <v>1539</v>
      </c>
    </row>
    <row r="148" spans="1:5" x14ac:dyDescent="0.35">
      <c r="A148" t="s">
        <v>264</v>
      </c>
      <c r="B148" t="s">
        <v>247</v>
      </c>
      <c r="C148" t="s">
        <v>127</v>
      </c>
      <c r="D148" t="s">
        <v>265</v>
      </c>
      <c r="E148">
        <v>1547</v>
      </c>
    </row>
    <row r="149" spans="1:5" x14ac:dyDescent="0.35">
      <c r="A149" t="s">
        <v>112</v>
      </c>
      <c r="B149" t="s">
        <v>247</v>
      </c>
      <c r="C149">
        <v>1</v>
      </c>
      <c r="E149">
        <v>1554</v>
      </c>
    </row>
    <row r="150" spans="1:5" x14ac:dyDescent="0.35">
      <c r="A150" t="s">
        <v>266</v>
      </c>
      <c r="B150" t="s">
        <v>247</v>
      </c>
      <c r="C150" t="s">
        <v>127</v>
      </c>
      <c r="E150">
        <v>1557</v>
      </c>
    </row>
    <row r="151" spans="1:5" x14ac:dyDescent="0.35">
      <c r="A151" t="s">
        <v>267</v>
      </c>
      <c r="B151" t="s">
        <v>247</v>
      </c>
      <c r="C151">
        <v>2</v>
      </c>
      <c r="E151">
        <v>1560</v>
      </c>
    </row>
    <row r="152" spans="1:5" x14ac:dyDescent="0.35">
      <c r="A152" t="s">
        <v>268</v>
      </c>
      <c r="B152" t="s">
        <v>247</v>
      </c>
      <c r="C152">
        <v>2</v>
      </c>
      <c r="E152">
        <v>1563</v>
      </c>
    </row>
    <row r="153" spans="1:5" x14ac:dyDescent="0.35">
      <c r="A153" t="s">
        <v>269</v>
      </c>
      <c r="B153" t="s">
        <v>247</v>
      </c>
      <c r="C153">
        <v>3</v>
      </c>
      <c r="E153">
        <v>1566</v>
      </c>
    </row>
    <row r="154" spans="1:5" x14ac:dyDescent="0.35">
      <c r="A154" t="s">
        <v>270</v>
      </c>
      <c r="B154" t="s">
        <v>247</v>
      </c>
      <c r="C154">
        <v>4</v>
      </c>
      <c r="E154">
        <v>1573</v>
      </c>
    </row>
    <row r="155" spans="1:5" x14ac:dyDescent="0.35">
      <c r="A155" t="s">
        <v>271</v>
      </c>
      <c r="B155" t="s">
        <v>247</v>
      </c>
      <c r="C155">
        <v>3</v>
      </c>
      <c r="E155">
        <v>1576</v>
      </c>
    </row>
    <row r="156" spans="1:5" x14ac:dyDescent="0.35">
      <c r="A156" t="s">
        <v>272</v>
      </c>
      <c r="B156" t="s">
        <v>247</v>
      </c>
      <c r="C156">
        <v>2</v>
      </c>
      <c r="D156" t="s">
        <v>273</v>
      </c>
      <c r="E156">
        <v>1577</v>
      </c>
    </row>
    <row r="157" spans="1:5" x14ac:dyDescent="0.35">
      <c r="A157" t="s">
        <v>272</v>
      </c>
      <c r="B157" t="s">
        <v>247</v>
      </c>
      <c r="C157">
        <v>1</v>
      </c>
      <c r="E157">
        <v>1577</v>
      </c>
    </row>
    <row r="158" spans="1:5" x14ac:dyDescent="0.35">
      <c r="A158" t="s">
        <v>274</v>
      </c>
      <c r="B158" t="s">
        <v>247</v>
      </c>
      <c r="C158">
        <v>2</v>
      </c>
      <c r="E158">
        <v>1578</v>
      </c>
    </row>
    <row r="159" spans="1:5" x14ac:dyDescent="0.35">
      <c r="A159" t="s">
        <v>275</v>
      </c>
      <c r="B159" t="s">
        <v>247</v>
      </c>
      <c r="C159" t="s">
        <v>127</v>
      </c>
      <c r="D159" t="s">
        <v>276</v>
      </c>
      <c r="E159">
        <v>1579</v>
      </c>
    </row>
    <row r="160" spans="1:5" x14ac:dyDescent="0.35">
      <c r="A160" t="s">
        <v>275</v>
      </c>
      <c r="B160" t="s">
        <v>247</v>
      </c>
      <c r="C160">
        <v>1</v>
      </c>
      <c r="E160">
        <v>1579</v>
      </c>
    </row>
    <row r="161" spans="1:5" x14ac:dyDescent="0.35">
      <c r="A161" t="s">
        <v>277</v>
      </c>
      <c r="B161" t="s">
        <v>247</v>
      </c>
      <c r="C161" t="s">
        <v>127</v>
      </c>
      <c r="E161">
        <v>1580</v>
      </c>
    </row>
    <row r="162" spans="1:5" x14ac:dyDescent="0.35">
      <c r="A162" t="s">
        <v>278</v>
      </c>
      <c r="B162" t="s">
        <v>279</v>
      </c>
      <c r="C162" t="s">
        <v>280</v>
      </c>
      <c r="E162">
        <v>1804</v>
      </c>
    </row>
    <row r="163" spans="1:5" x14ac:dyDescent="0.35">
      <c r="A163" t="s">
        <v>281</v>
      </c>
      <c r="B163" t="s">
        <v>279</v>
      </c>
      <c r="C163">
        <v>4</v>
      </c>
      <c r="E163">
        <v>1806</v>
      </c>
    </row>
    <row r="164" spans="1:5" x14ac:dyDescent="0.35">
      <c r="A164" t="s">
        <v>282</v>
      </c>
      <c r="B164" t="s">
        <v>279</v>
      </c>
      <c r="C164">
        <v>4</v>
      </c>
      <c r="E164">
        <v>1811</v>
      </c>
    </row>
    <row r="165" spans="1:5" x14ac:dyDescent="0.35">
      <c r="A165" t="s">
        <v>283</v>
      </c>
      <c r="B165" t="s">
        <v>279</v>
      </c>
      <c r="C165">
        <v>4</v>
      </c>
      <c r="E165">
        <v>1812</v>
      </c>
    </row>
    <row r="166" spans="1:5" x14ac:dyDescent="0.35">
      <c r="A166" t="s">
        <v>284</v>
      </c>
      <c r="B166" t="s">
        <v>279</v>
      </c>
      <c r="C166">
        <v>4</v>
      </c>
      <c r="E166">
        <v>1813</v>
      </c>
    </row>
    <row r="167" spans="1:5" x14ac:dyDescent="0.35">
      <c r="A167" t="s">
        <v>285</v>
      </c>
      <c r="B167" t="s">
        <v>279</v>
      </c>
      <c r="C167">
        <v>4</v>
      </c>
      <c r="E167">
        <v>1815</v>
      </c>
    </row>
    <row r="168" spans="1:5" x14ac:dyDescent="0.35">
      <c r="A168" t="s">
        <v>286</v>
      </c>
      <c r="B168" t="s">
        <v>279</v>
      </c>
      <c r="C168">
        <v>4</v>
      </c>
      <c r="E168">
        <v>1816</v>
      </c>
    </row>
    <row r="169" spans="1:5" x14ac:dyDescent="0.35">
      <c r="A169" t="s">
        <v>287</v>
      </c>
      <c r="B169" t="s">
        <v>279</v>
      </c>
      <c r="C169">
        <v>4</v>
      </c>
      <c r="E169">
        <v>1818</v>
      </c>
    </row>
    <row r="170" spans="1:5" x14ac:dyDescent="0.35">
      <c r="A170" t="s">
        <v>288</v>
      </c>
      <c r="B170" t="s">
        <v>279</v>
      </c>
      <c r="C170">
        <v>4</v>
      </c>
      <c r="E170">
        <v>1820</v>
      </c>
    </row>
    <row r="171" spans="1:5" x14ac:dyDescent="0.35">
      <c r="A171" t="s">
        <v>289</v>
      </c>
      <c r="B171" t="s">
        <v>279</v>
      </c>
      <c r="C171">
        <v>4</v>
      </c>
      <c r="E171">
        <v>1822</v>
      </c>
    </row>
    <row r="172" spans="1:5" x14ac:dyDescent="0.35">
      <c r="A172" t="s">
        <v>290</v>
      </c>
      <c r="B172" t="s">
        <v>279</v>
      </c>
      <c r="C172">
        <v>4</v>
      </c>
      <c r="E172">
        <v>1824</v>
      </c>
    </row>
    <row r="173" spans="1:5" x14ac:dyDescent="0.35">
      <c r="A173" t="s">
        <v>291</v>
      </c>
      <c r="B173" t="s">
        <v>279</v>
      </c>
      <c r="C173">
        <v>4</v>
      </c>
      <c r="E173">
        <v>1825</v>
      </c>
    </row>
    <row r="174" spans="1:5" x14ac:dyDescent="0.35">
      <c r="A174" t="s">
        <v>292</v>
      </c>
      <c r="B174" t="s">
        <v>279</v>
      </c>
      <c r="C174">
        <v>4</v>
      </c>
      <c r="E174">
        <v>1826</v>
      </c>
    </row>
    <row r="175" spans="1:5" x14ac:dyDescent="0.35">
      <c r="A175" t="s">
        <v>293</v>
      </c>
      <c r="B175" t="s">
        <v>279</v>
      </c>
      <c r="C175">
        <v>4</v>
      </c>
      <c r="E175">
        <v>1827</v>
      </c>
    </row>
    <row r="176" spans="1:5" x14ac:dyDescent="0.35">
      <c r="A176" t="s">
        <v>294</v>
      </c>
      <c r="B176" t="s">
        <v>279</v>
      </c>
      <c r="C176">
        <v>4</v>
      </c>
      <c r="E176">
        <v>1828</v>
      </c>
    </row>
    <row r="177" spans="1:5" x14ac:dyDescent="0.35">
      <c r="A177" t="s">
        <v>295</v>
      </c>
      <c r="B177" t="s">
        <v>279</v>
      </c>
      <c r="C177">
        <v>4</v>
      </c>
      <c r="E177">
        <v>1832</v>
      </c>
    </row>
    <row r="178" spans="1:5" x14ac:dyDescent="0.35">
      <c r="A178" t="s">
        <v>296</v>
      </c>
      <c r="B178" t="s">
        <v>279</v>
      </c>
      <c r="C178">
        <v>4</v>
      </c>
      <c r="E178">
        <v>1833</v>
      </c>
    </row>
    <row r="179" spans="1:5" x14ac:dyDescent="0.35">
      <c r="A179" t="s">
        <v>297</v>
      </c>
      <c r="B179" t="s">
        <v>279</v>
      </c>
      <c r="C179">
        <v>4</v>
      </c>
      <c r="E179">
        <v>1834</v>
      </c>
    </row>
    <row r="180" spans="1:5" x14ac:dyDescent="0.35">
      <c r="A180" t="s">
        <v>298</v>
      </c>
      <c r="B180" t="s">
        <v>279</v>
      </c>
      <c r="C180">
        <v>4</v>
      </c>
      <c r="E180">
        <v>1835</v>
      </c>
    </row>
    <row r="181" spans="1:5" x14ac:dyDescent="0.35">
      <c r="A181" t="s">
        <v>299</v>
      </c>
      <c r="B181" t="s">
        <v>279</v>
      </c>
      <c r="C181">
        <v>4</v>
      </c>
      <c r="E181">
        <v>1836</v>
      </c>
    </row>
    <row r="182" spans="1:5" x14ac:dyDescent="0.35">
      <c r="A182" t="s">
        <v>300</v>
      </c>
      <c r="B182" t="s">
        <v>279</v>
      </c>
      <c r="C182">
        <v>4</v>
      </c>
      <c r="E182">
        <v>1837</v>
      </c>
    </row>
    <row r="183" spans="1:5" x14ac:dyDescent="0.35">
      <c r="A183" t="s">
        <v>301</v>
      </c>
      <c r="B183" t="s">
        <v>279</v>
      </c>
      <c r="C183">
        <v>4</v>
      </c>
      <c r="E183">
        <v>1838</v>
      </c>
    </row>
    <row r="184" spans="1:5" x14ac:dyDescent="0.35">
      <c r="A184" t="s">
        <v>302</v>
      </c>
      <c r="B184" t="s">
        <v>279</v>
      </c>
      <c r="C184">
        <v>4</v>
      </c>
      <c r="E184">
        <v>1839</v>
      </c>
    </row>
    <row r="185" spans="1:5" x14ac:dyDescent="0.35">
      <c r="A185" t="s">
        <v>303</v>
      </c>
      <c r="B185" t="s">
        <v>279</v>
      </c>
      <c r="C185">
        <v>4</v>
      </c>
      <c r="E185">
        <v>1840</v>
      </c>
    </row>
    <row r="186" spans="1:5" x14ac:dyDescent="0.35">
      <c r="A186" t="s">
        <v>304</v>
      </c>
      <c r="B186" t="s">
        <v>279</v>
      </c>
      <c r="C186">
        <v>4</v>
      </c>
      <c r="E186">
        <v>1841</v>
      </c>
    </row>
    <row r="187" spans="1:5" x14ac:dyDescent="0.35">
      <c r="A187" t="s">
        <v>305</v>
      </c>
      <c r="B187" t="s">
        <v>279</v>
      </c>
      <c r="C187">
        <v>4</v>
      </c>
      <c r="E187">
        <v>1845</v>
      </c>
    </row>
    <row r="188" spans="1:5" x14ac:dyDescent="0.35">
      <c r="A188" t="s">
        <v>306</v>
      </c>
      <c r="B188" t="s">
        <v>279</v>
      </c>
      <c r="C188">
        <v>4</v>
      </c>
      <c r="E188">
        <v>1848</v>
      </c>
    </row>
    <row r="189" spans="1:5" x14ac:dyDescent="0.35">
      <c r="A189" t="s">
        <v>307</v>
      </c>
      <c r="B189" t="s">
        <v>279</v>
      </c>
      <c r="C189">
        <v>4</v>
      </c>
      <c r="E189">
        <v>1851</v>
      </c>
    </row>
    <row r="190" spans="1:5" x14ac:dyDescent="0.35">
      <c r="A190" t="s">
        <v>308</v>
      </c>
      <c r="B190" t="s">
        <v>279</v>
      </c>
      <c r="C190">
        <v>4</v>
      </c>
      <c r="E190">
        <v>1853</v>
      </c>
    </row>
    <row r="191" spans="1:5" x14ac:dyDescent="0.35">
      <c r="A191" t="s">
        <v>309</v>
      </c>
      <c r="B191" t="s">
        <v>279</v>
      </c>
      <c r="C191">
        <v>4</v>
      </c>
      <c r="E191">
        <v>1856</v>
      </c>
    </row>
    <row r="192" spans="1:5" x14ac:dyDescent="0.35">
      <c r="A192" t="s">
        <v>310</v>
      </c>
      <c r="B192" t="s">
        <v>279</v>
      </c>
      <c r="C192">
        <v>4</v>
      </c>
      <c r="E192">
        <v>1857</v>
      </c>
    </row>
    <row r="193" spans="1:5" x14ac:dyDescent="0.35">
      <c r="A193" t="s">
        <v>311</v>
      </c>
      <c r="B193" t="s">
        <v>279</v>
      </c>
      <c r="C193">
        <v>4</v>
      </c>
      <c r="E193">
        <v>1859</v>
      </c>
    </row>
    <row r="194" spans="1:5" x14ac:dyDescent="0.35">
      <c r="A194" t="s">
        <v>312</v>
      </c>
      <c r="B194" t="s">
        <v>279</v>
      </c>
      <c r="C194">
        <v>4</v>
      </c>
      <c r="E194">
        <v>1860</v>
      </c>
    </row>
    <row r="195" spans="1:5" x14ac:dyDescent="0.35">
      <c r="A195" t="s">
        <v>313</v>
      </c>
      <c r="B195" t="s">
        <v>279</v>
      </c>
      <c r="C195">
        <v>4</v>
      </c>
      <c r="E195">
        <v>1865</v>
      </c>
    </row>
    <row r="196" spans="1:5" x14ac:dyDescent="0.35">
      <c r="A196" t="s">
        <v>314</v>
      </c>
      <c r="B196" t="s">
        <v>279</v>
      </c>
      <c r="C196">
        <v>4</v>
      </c>
      <c r="E196">
        <v>1866</v>
      </c>
    </row>
    <row r="197" spans="1:5" x14ac:dyDescent="0.35">
      <c r="A197" t="s">
        <v>315</v>
      </c>
      <c r="B197" t="s">
        <v>279</v>
      </c>
      <c r="C197">
        <v>4</v>
      </c>
      <c r="E197">
        <v>1867</v>
      </c>
    </row>
    <row r="198" spans="1:5" x14ac:dyDescent="0.35">
      <c r="A198" t="s">
        <v>316</v>
      </c>
      <c r="B198" t="s">
        <v>279</v>
      </c>
      <c r="C198">
        <v>4</v>
      </c>
      <c r="E198">
        <v>1868</v>
      </c>
    </row>
    <row r="199" spans="1:5" x14ac:dyDescent="0.35">
      <c r="A199" t="s">
        <v>317</v>
      </c>
      <c r="B199" t="s">
        <v>279</v>
      </c>
      <c r="C199">
        <v>4</v>
      </c>
      <c r="E199">
        <v>1870</v>
      </c>
    </row>
    <row r="200" spans="1:5" x14ac:dyDescent="0.35">
      <c r="A200" t="s">
        <v>318</v>
      </c>
      <c r="B200" t="s">
        <v>279</v>
      </c>
      <c r="C200">
        <v>4</v>
      </c>
      <c r="E200">
        <v>1871</v>
      </c>
    </row>
    <row r="201" spans="1:5" x14ac:dyDescent="0.35">
      <c r="A201" t="s">
        <v>319</v>
      </c>
      <c r="B201" t="s">
        <v>279</v>
      </c>
      <c r="C201">
        <v>4</v>
      </c>
      <c r="E201">
        <v>1874</v>
      </c>
    </row>
    <row r="202" spans="1:5" x14ac:dyDescent="0.35">
      <c r="A202" t="s">
        <v>320</v>
      </c>
      <c r="B202" t="s">
        <v>279</v>
      </c>
      <c r="C202">
        <v>4</v>
      </c>
      <c r="E202">
        <v>1875</v>
      </c>
    </row>
    <row r="203" spans="1:5" x14ac:dyDescent="0.35">
      <c r="A203" t="s">
        <v>321</v>
      </c>
      <c r="B203" t="s">
        <v>321</v>
      </c>
      <c r="C203">
        <v>1</v>
      </c>
      <c r="E203">
        <v>301</v>
      </c>
    </row>
    <row r="204" spans="1:5" x14ac:dyDescent="0.35">
      <c r="A204" t="s">
        <v>322</v>
      </c>
      <c r="B204" t="s">
        <v>323</v>
      </c>
      <c r="C204">
        <v>1</v>
      </c>
      <c r="E204">
        <v>1101</v>
      </c>
    </row>
    <row r="205" spans="1:5" x14ac:dyDescent="0.35">
      <c r="A205" t="s">
        <v>324</v>
      </c>
      <c r="B205" t="s">
        <v>323</v>
      </c>
      <c r="C205">
        <v>1</v>
      </c>
      <c r="D205" t="s">
        <v>325</v>
      </c>
      <c r="E205">
        <v>1103</v>
      </c>
    </row>
    <row r="206" spans="1:5" x14ac:dyDescent="0.35">
      <c r="A206" t="s">
        <v>326</v>
      </c>
      <c r="B206" t="s">
        <v>323</v>
      </c>
      <c r="C206">
        <v>1</v>
      </c>
      <c r="E206">
        <v>1106</v>
      </c>
    </row>
    <row r="207" spans="1:5" x14ac:dyDescent="0.35">
      <c r="A207" t="s">
        <v>327</v>
      </c>
      <c r="B207" t="s">
        <v>323</v>
      </c>
      <c r="C207">
        <v>1</v>
      </c>
      <c r="E207">
        <v>1108</v>
      </c>
    </row>
    <row r="208" spans="1:5" x14ac:dyDescent="0.35">
      <c r="A208" t="s">
        <v>328</v>
      </c>
      <c r="B208" t="s">
        <v>323</v>
      </c>
      <c r="C208">
        <v>1</v>
      </c>
      <c r="E208">
        <v>1111</v>
      </c>
    </row>
    <row r="209" spans="1:5" x14ac:dyDescent="0.35">
      <c r="A209" t="s">
        <v>329</v>
      </c>
      <c r="B209" t="s">
        <v>323</v>
      </c>
      <c r="C209">
        <v>1</v>
      </c>
      <c r="E209">
        <v>1112</v>
      </c>
    </row>
    <row r="210" spans="1:5" x14ac:dyDescent="0.35">
      <c r="A210" t="s">
        <v>330</v>
      </c>
      <c r="B210" t="s">
        <v>323</v>
      </c>
      <c r="C210">
        <v>1</v>
      </c>
      <c r="E210">
        <v>1114</v>
      </c>
    </row>
    <row r="211" spans="1:5" x14ac:dyDescent="0.35">
      <c r="A211" t="s">
        <v>331</v>
      </c>
      <c r="B211" t="s">
        <v>323</v>
      </c>
      <c r="C211">
        <v>1</v>
      </c>
      <c r="E211">
        <v>1119</v>
      </c>
    </row>
    <row r="212" spans="1:5" x14ac:dyDescent="0.35">
      <c r="A212" t="s">
        <v>332</v>
      </c>
      <c r="B212" t="s">
        <v>323</v>
      </c>
      <c r="C212">
        <v>1</v>
      </c>
      <c r="E212">
        <v>1120</v>
      </c>
    </row>
    <row r="213" spans="1:5" x14ac:dyDescent="0.35">
      <c r="A213" t="s">
        <v>333</v>
      </c>
      <c r="B213" t="s">
        <v>323</v>
      </c>
      <c r="C213">
        <v>1</v>
      </c>
      <c r="E213">
        <v>1121</v>
      </c>
    </row>
    <row r="214" spans="1:5" x14ac:dyDescent="0.35">
      <c r="A214" t="s">
        <v>334</v>
      </c>
      <c r="B214" t="s">
        <v>323</v>
      </c>
      <c r="C214">
        <v>1</v>
      </c>
      <c r="E214">
        <v>1122</v>
      </c>
    </row>
    <row r="215" spans="1:5" x14ac:dyDescent="0.35">
      <c r="A215" t="s">
        <v>335</v>
      </c>
      <c r="B215" t="s">
        <v>323</v>
      </c>
      <c r="C215">
        <v>1</v>
      </c>
      <c r="E215">
        <v>1124</v>
      </c>
    </row>
    <row r="216" spans="1:5" x14ac:dyDescent="0.35">
      <c r="A216" t="s">
        <v>336</v>
      </c>
      <c r="B216" t="s">
        <v>323</v>
      </c>
      <c r="C216">
        <v>1</v>
      </c>
      <c r="E216">
        <v>1127</v>
      </c>
    </row>
    <row r="217" spans="1:5" x14ac:dyDescent="0.35">
      <c r="A217" t="s">
        <v>337</v>
      </c>
      <c r="B217" t="s">
        <v>323</v>
      </c>
      <c r="C217">
        <v>1</v>
      </c>
      <c r="E217">
        <v>1130</v>
      </c>
    </row>
    <row r="218" spans="1:5" x14ac:dyDescent="0.35">
      <c r="A218" t="s">
        <v>338</v>
      </c>
      <c r="B218" t="s">
        <v>323</v>
      </c>
      <c r="C218">
        <v>2</v>
      </c>
      <c r="E218">
        <v>1133</v>
      </c>
    </row>
    <row r="219" spans="1:5" x14ac:dyDescent="0.35">
      <c r="A219" t="s">
        <v>339</v>
      </c>
      <c r="B219" t="s">
        <v>323</v>
      </c>
      <c r="C219">
        <v>2</v>
      </c>
      <c r="E219">
        <v>1134</v>
      </c>
    </row>
    <row r="220" spans="1:5" x14ac:dyDescent="0.35">
      <c r="A220" t="s">
        <v>340</v>
      </c>
      <c r="B220" t="s">
        <v>323</v>
      </c>
      <c r="C220">
        <v>2</v>
      </c>
      <c r="E220">
        <v>1135</v>
      </c>
    </row>
    <row r="221" spans="1:5" x14ac:dyDescent="0.35">
      <c r="A221" t="s">
        <v>341</v>
      </c>
      <c r="B221" t="s">
        <v>323</v>
      </c>
      <c r="C221" t="s">
        <v>127</v>
      </c>
      <c r="E221">
        <v>1144</v>
      </c>
    </row>
    <row r="222" spans="1:5" x14ac:dyDescent="0.35">
      <c r="A222" t="s">
        <v>342</v>
      </c>
      <c r="B222" t="s">
        <v>323</v>
      </c>
      <c r="C222">
        <v>1</v>
      </c>
      <c r="E222">
        <v>1145</v>
      </c>
    </row>
    <row r="223" spans="1:5" x14ac:dyDescent="0.35">
      <c r="A223" t="s">
        <v>343</v>
      </c>
      <c r="B223" t="s">
        <v>323</v>
      </c>
      <c r="C223">
        <v>1</v>
      </c>
      <c r="E223">
        <v>1146</v>
      </c>
    </row>
    <row r="224" spans="1:5" x14ac:dyDescent="0.35">
      <c r="A224" t="s">
        <v>344</v>
      </c>
      <c r="B224" t="s">
        <v>323</v>
      </c>
      <c r="C224">
        <v>1</v>
      </c>
      <c r="E224">
        <v>1149</v>
      </c>
    </row>
    <row r="225" spans="1:5" x14ac:dyDescent="0.35">
      <c r="A225" t="s">
        <v>345</v>
      </c>
      <c r="B225" t="s">
        <v>323</v>
      </c>
      <c r="C225" t="s">
        <v>127</v>
      </c>
      <c r="E225">
        <v>1151</v>
      </c>
    </row>
    <row r="226" spans="1:5" x14ac:dyDescent="0.35">
      <c r="A226" t="s">
        <v>346</v>
      </c>
      <c r="B226" t="s">
        <v>323</v>
      </c>
      <c r="C226">
        <v>1</v>
      </c>
      <c r="E226">
        <v>1160</v>
      </c>
    </row>
    <row r="227" spans="1:5" x14ac:dyDescent="0.35">
      <c r="A227" t="s">
        <v>347</v>
      </c>
      <c r="B227" t="s">
        <v>348</v>
      </c>
      <c r="C227">
        <v>1</v>
      </c>
      <c r="E227">
        <v>4001</v>
      </c>
    </row>
    <row r="228" spans="1:5" x14ac:dyDescent="0.35">
      <c r="A228" t="s">
        <v>349</v>
      </c>
      <c r="B228" t="s">
        <v>348</v>
      </c>
      <c r="C228">
        <v>1</v>
      </c>
      <c r="E228">
        <v>4003</v>
      </c>
    </row>
    <row r="229" spans="1:5" x14ac:dyDescent="0.35">
      <c r="A229" t="s">
        <v>350</v>
      </c>
      <c r="B229" t="s">
        <v>348</v>
      </c>
      <c r="C229">
        <v>1</v>
      </c>
      <c r="E229">
        <v>4005</v>
      </c>
    </row>
    <row r="230" spans="1:5" x14ac:dyDescent="0.35">
      <c r="A230" t="s">
        <v>351</v>
      </c>
      <c r="B230" t="s">
        <v>348</v>
      </c>
      <c r="C230">
        <v>1</v>
      </c>
      <c r="E230">
        <v>4010</v>
      </c>
    </row>
    <row r="231" spans="1:5" x14ac:dyDescent="0.35">
      <c r="A231" t="s">
        <v>352</v>
      </c>
      <c r="B231" t="s">
        <v>348</v>
      </c>
      <c r="C231">
        <v>1</v>
      </c>
      <c r="E231">
        <v>4012</v>
      </c>
    </row>
    <row r="232" spans="1:5" x14ac:dyDescent="0.35">
      <c r="A232" t="s">
        <v>353</v>
      </c>
      <c r="B232" t="s">
        <v>348</v>
      </c>
      <c r="C232">
        <v>1</v>
      </c>
      <c r="E232">
        <v>4014</v>
      </c>
    </row>
    <row r="233" spans="1:5" x14ac:dyDescent="0.35">
      <c r="A233" t="s">
        <v>354</v>
      </c>
      <c r="B233" t="s">
        <v>348</v>
      </c>
      <c r="C233">
        <v>2</v>
      </c>
      <c r="E233">
        <v>4016</v>
      </c>
    </row>
    <row r="234" spans="1:5" x14ac:dyDescent="0.35">
      <c r="A234" t="s">
        <v>355</v>
      </c>
      <c r="B234" t="s">
        <v>348</v>
      </c>
      <c r="C234">
        <v>2</v>
      </c>
      <c r="E234">
        <v>4018</v>
      </c>
    </row>
    <row r="235" spans="1:5" x14ac:dyDescent="0.35">
      <c r="A235" t="s">
        <v>356</v>
      </c>
      <c r="B235" t="s">
        <v>348</v>
      </c>
      <c r="C235">
        <v>1</v>
      </c>
      <c r="E235">
        <v>4020</v>
      </c>
    </row>
    <row r="236" spans="1:5" x14ac:dyDescent="0.35">
      <c r="A236" t="s">
        <v>357</v>
      </c>
      <c r="B236" t="s">
        <v>348</v>
      </c>
      <c r="C236">
        <v>2</v>
      </c>
      <c r="E236">
        <v>4022</v>
      </c>
    </row>
    <row r="237" spans="1:5" x14ac:dyDescent="0.35">
      <c r="A237" t="s">
        <v>358</v>
      </c>
      <c r="B237" t="s">
        <v>348</v>
      </c>
      <c r="C237">
        <v>2</v>
      </c>
      <c r="E237">
        <v>4024</v>
      </c>
    </row>
    <row r="238" spans="1:5" x14ac:dyDescent="0.35">
      <c r="A238" t="s">
        <v>359</v>
      </c>
      <c r="B238" t="s">
        <v>348</v>
      </c>
      <c r="C238">
        <v>2</v>
      </c>
      <c r="E238">
        <v>4026</v>
      </c>
    </row>
    <row r="239" spans="1:5" x14ac:dyDescent="0.35">
      <c r="A239" t="s">
        <v>360</v>
      </c>
      <c r="B239" t="s">
        <v>348</v>
      </c>
      <c r="C239">
        <v>2</v>
      </c>
      <c r="E239">
        <v>4028</v>
      </c>
    </row>
    <row r="240" spans="1:5" x14ac:dyDescent="0.35">
      <c r="A240" t="s">
        <v>361</v>
      </c>
      <c r="B240" t="s">
        <v>348</v>
      </c>
      <c r="C240">
        <v>2</v>
      </c>
      <c r="E240">
        <v>4030</v>
      </c>
    </row>
    <row r="241" spans="1:5" x14ac:dyDescent="0.35">
      <c r="A241" t="s">
        <v>362</v>
      </c>
      <c r="B241" t="s">
        <v>348</v>
      </c>
      <c r="C241">
        <v>2</v>
      </c>
      <c r="E241">
        <v>4032</v>
      </c>
    </row>
    <row r="242" spans="1:5" x14ac:dyDescent="0.35">
      <c r="A242" t="s">
        <v>363</v>
      </c>
      <c r="B242" t="s">
        <v>348</v>
      </c>
      <c r="C242">
        <v>2</v>
      </c>
      <c r="E242">
        <v>4034</v>
      </c>
    </row>
    <row r="243" spans="1:5" x14ac:dyDescent="0.35">
      <c r="A243" t="s">
        <v>364</v>
      </c>
      <c r="B243" t="s">
        <v>348</v>
      </c>
      <c r="C243">
        <v>2</v>
      </c>
      <c r="E243">
        <v>4036</v>
      </c>
    </row>
    <row r="244" spans="1:5" x14ac:dyDescent="0.35">
      <c r="A244" t="s">
        <v>365</v>
      </c>
      <c r="B244" t="s">
        <v>366</v>
      </c>
      <c r="C244" t="s">
        <v>280</v>
      </c>
      <c r="E244">
        <v>5501</v>
      </c>
    </row>
    <row r="245" spans="1:5" x14ac:dyDescent="0.35">
      <c r="A245" t="s">
        <v>367</v>
      </c>
      <c r="B245" t="s">
        <v>366</v>
      </c>
      <c r="C245">
        <v>4</v>
      </c>
      <c r="E245">
        <v>5503</v>
      </c>
    </row>
    <row r="246" spans="1:5" x14ac:dyDescent="0.35">
      <c r="A246" t="s">
        <v>368</v>
      </c>
      <c r="B246" t="s">
        <v>366</v>
      </c>
      <c r="C246">
        <v>4</v>
      </c>
      <c r="E246">
        <v>5510</v>
      </c>
    </row>
    <row r="247" spans="1:5" x14ac:dyDescent="0.35">
      <c r="A247" t="s">
        <v>369</v>
      </c>
      <c r="B247" t="s">
        <v>366</v>
      </c>
      <c r="C247">
        <v>4</v>
      </c>
      <c r="E247">
        <v>5512</v>
      </c>
    </row>
    <row r="248" spans="1:5" x14ac:dyDescent="0.35">
      <c r="A248" t="s">
        <v>370</v>
      </c>
      <c r="B248" t="s">
        <v>366</v>
      </c>
      <c r="C248">
        <v>4</v>
      </c>
      <c r="E248">
        <v>5514</v>
      </c>
    </row>
    <row r="249" spans="1:5" x14ac:dyDescent="0.35">
      <c r="A249" t="s">
        <v>371</v>
      </c>
      <c r="B249" t="s">
        <v>366</v>
      </c>
      <c r="C249">
        <v>4</v>
      </c>
      <c r="E249">
        <v>5516</v>
      </c>
    </row>
    <row r="250" spans="1:5" x14ac:dyDescent="0.35">
      <c r="A250" t="s">
        <v>372</v>
      </c>
      <c r="B250" t="s">
        <v>366</v>
      </c>
      <c r="C250">
        <v>4</v>
      </c>
      <c r="E250">
        <v>5518</v>
      </c>
    </row>
    <row r="251" spans="1:5" x14ac:dyDescent="0.35">
      <c r="A251" t="s">
        <v>373</v>
      </c>
      <c r="B251" t="s">
        <v>366</v>
      </c>
      <c r="C251">
        <v>4</v>
      </c>
      <c r="E251">
        <v>5520</v>
      </c>
    </row>
    <row r="252" spans="1:5" x14ac:dyDescent="0.35">
      <c r="A252" t="s">
        <v>374</v>
      </c>
      <c r="B252" t="s">
        <v>366</v>
      </c>
      <c r="C252">
        <v>4</v>
      </c>
      <c r="E252">
        <v>5522</v>
      </c>
    </row>
    <row r="253" spans="1:5" x14ac:dyDescent="0.35">
      <c r="A253" t="s">
        <v>375</v>
      </c>
      <c r="B253" t="s">
        <v>366</v>
      </c>
      <c r="C253">
        <v>4</v>
      </c>
      <c r="E253">
        <v>5524</v>
      </c>
    </row>
    <row r="254" spans="1:5" x14ac:dyDescent="0.35">
      <c r="A254" t="s">
        <v>376</v>
      </c>
      <c r="B254" t="s">
        <v>366</v>
      </c>
      <c r="C254">
        <v>4</v>
      </c>
      <c r="E254">
        <v>5526</v>
      </c>
    </row>
    <row r="255" spans="1:5" x14ac:dyDescent="0.35">
      <c r="A255" t="s">
        <v>377</v>
      </c>
      <c r="B255" t="s">
        <v>366</v>
      </c>
      <c r="C255">
        <v>4</v>
      </c>
      <c r="E255">
        <v>5528</v>
      </c>
    </row>
    <row r="256" spans="1:5" x14ac:dyDescent="0.35">
      <c r="A256" t="s">
        <v>378</v>
      </c>
      <c r="B256" t="s">
        <v>366</v>
      </c>
      <c r="C256">
        <v>4</v>
      </c>
      <c r="E256">
        <v>5530</v>
      </c>
    </row>
    <row r="257" spans="1:5" x14ac:dyDescent="0.35">
      <c r="A257" t="s">
        <v>379</v>
      </c>
      <c r="B257" t="s">
        <v>366</v>
      </c>
      <c r="C257">
        <v>4</v>
      </c>
      <c r="E257">
        <v>5532</v>
      </c>
    </row>
    <row r="258" spans="1:5" x14ac:dyDescent="0.35">
      <c r="A258" t="s">
        <v>380</v>
      </c>
      <c r="B258" t="s">
        <v>366</v>
      </c>
      <c r="C258">
        <v>5</v>
      </c>
      <c r="E258">
        <v>5534</v>
      </c>
    </row>
    <row r="259" spans="1:5" x14ac:dyDescent="0.35">
      <c r="A259" t="s">
        <v>381</v>
      </c>
      <c r="B259" t="s">
        <v>366</v>
      </c>
      <c r="C259">
        <v>5</v>
      </c>
      <c r="E259">
        <v>5536</v>
      </c>
    </row>
    <row r="260" spans="1:5" x14ac:dyDescent="0.35">
      <c r="A260" t="s">
        <v>382</v>
      </c>
      <c r="B260" t="s">
        <v>366</v>
      </c>
      <c r="C260">
        <v>5</v>
      </c>
      <c r="E260">
        <v>5538</v>
      </c>
    </row>
    <row r="261" spans="1:5" x14ac:dyDescent="0.35">
      <c r="A261" t="s">
        <v>383</v>
      </c>
      <c r="B261" t="s">
        <v>366</v>
      </c>
      <c r="C261">
        <v>5</v>
      </c>
      <c r="E261">
        <v>5540</v>
      </c>
    </row>
    <row r="262" spans="1:5" x14ac:dyDescent="0.35">
      <c r="A262" t="s">
        <v>384</v>
      </c>
      <c r="B262" t="s">
        <v>366</v>
      </c>
      <c r="C262">
        <v>5</v>
      </c>
      <c r="E262">
        <v>5542</v>
      </c>
    </row>
    <row r="263" spans="1:5" x14ac:dyDescent="0.35">
      <c r="A263" t="s">
        <v>385</v>
      </c>
      <c r="B263" t="s">
        <v>366</v>
      </c>
      <c r="C263">
        <v>5</v>
      </c>
      <c r="E263">
        <v>5544</v>
      </c>
    </row>
    <row r="264" spans="1:5" x14ac:dyDescent="0.35">
      <c r="A264" t="s">
        <v>386</v>
      </c>
      <c r="B264" t="s">
        <v>366</v>
      </c>
      <c r="C264">
        <v>5</v>
      </c>
      <c r="E264">
        <v>5546</v>
      </c>
    </row>
    <row r="265" spans="1:5" x14ac:dyDescent="0.35">
      <c r="A265" t="s">
        <v>387</v>
      </c>
      <c r="B265" t="s">
        <v>388</v>
      </c>
      <c r="C265">
        <v>1</v>
      </c>
      <c r="E265">
        <v>5001</v>
      </c>
    </row>
    <row r="266" spans="1:5" x14ac:dyDescent="0.35">
      <c r="A266" t="s">
        <v>389</v>
      </c>
      <c r="B266" t="s">
        <v>388</v>
      </c>
      <c r="C266">
        <v>1</v>
      </c>
      <c r="E266">
        <v>5006</v>
      </c>
    </row>
    <row r="267" spans="1:5" x14ac:dyDescent="0.35">
      <c r="A267" t="s">
        <v>389</v>
      </c>
      <c r="B267" t="s">
        <v>388</v>
      </c>
      <c r="C267">
        <v>2</v>
      </c>
      <c r="D267" t="s">
        <v>390</v>
      </c>
      <c r="E267">
        <v>5006</v>
      </c>
    </row>
    <row r="268" spans="1:5" x14ac:dyDescent="0.35">
      <c r="A268" t="s">
        <v>391</v>
      </c>
      <c r="B268" t="s">
        <v>388</v>
      </c>
      <c r="C268">
        <v>4</v>
      </c>
      <c r="E268">
        <v>5007</v>
      </c>
    </row>
    <row r="269" spans="1:5" x14ac:dyDescent="0.35">
      <c r="A269" t="s">
        <v>392</v>
      </c>
      <c r="B269" t="s">
        <v>388</v>
      </c>
      <c r="C269">
        <v>3</v>
      </c>
      <c r="E269">
        <v>5014</v>
      </c>
    </row>
    <row r="270" spans="1:5" x14ac:dyDescent="0.35">
      <c r="A270" t="s">
        <v>393</v>
      </c>
      <c r="B270" t="s">
        <v>388</v>
      </c>
      <c r="C270">
        <v>4</v>
      </c>
      <c r="E270">
        <v>5020</v>
      </c>
    </row>
    <row r="271" spans="1:5" x14ac:dyDescent="0.35">
      <c r="A271" t="s">
        <v>394</v>
      </c>
      <c r="B271" t="s">
        <v>388</v>
      </c>
      <c r="C271">
        <v>3</v>
      </c>
      <c r="E271">
        <v>5021</v>
      </c>
    </row>
    <row r="272" spans="1:5" x14ac:dyDescent="0.35">
      <c r="A272" t="s">
        <v>395</v>
      </c>
      <c r="B272" t="s">
        <v>388</v>
      </c>
      <c r="C272">
        <v>3</v>
      </c>
      <c r="E272">
        <v>5022</v>
      </c>
    </row>
    <row r="273" spans="1:5" x14ac:dyDescent="0.35">
      <c r="A273" t="s">
        <v>396</v>
      </c>
      <c r="B273" t="s">
        <v>388</v>
      </c>
      <c r="C273">
        <v>3</v>
      </c>
      <c r="E273">
        <v>5025</v>
      </c>
    </row>
    <row r="274" spans="1:5" x14ac:dyDescent="0.35">
      <c r="A274" t="s">
        <v>397</v>
      </c>
      <c r="B274" t="s">
        <v>388</v>
      </c>
      <c r="C274">
        <v>3</v>
      </c>
      <c r="E274">
        <v>5026</v>
      </c>
    </row>
    <row r="275" spans="1:5" x14ac:dyDescent="0.35">
      <c r="A275" t="s">
        <v>398</v>
      </c>
      <c r="B275" t="s">
        <v>388</v>
      </c>
      <c r="C275" t="s">
        <v>127</v>
      </c>
      <c r="E275">
        <v>5027</v>
      </c>
    </row>
    <row r="276" spans="1:5" x14ac:dyDescent="0.35">
      <c r="A276" t="s">
        <v>399</v>
      </c>
      <c r="B276" t="s">
        <v>388</v>
      </c>
      <c r="C276">
        <v>1</v>
      </c>
      <c r="E276">
        <v>5028</v>
      </c>
    </row>
    <row r="277" spans="1:5" x14ac:dyDescent="0.35">
      <c r="A277" t="s">
        <v>400</v>
      </c>
      <c r="B277" t="s">
        <v>388</v>
      </c>
      <c r="C277">
        <v>1</v>
      </c>
      <c r="E277">
        <v>5029</v>
      </c>
    </row>
    <row r="278" spans="1:5" x14ac:dyDescent="0.35">
      <c r="A278" t="s">
        <v>401</v>
      </c>
      <c r="B278" t="s">
        <v>388</v>
      </c>
      <c r="C278">
        <v>1</v>
      </c>
      <c r="E278">
        <v>5031</v>
      </c>
    </row>
    <row r="279" spans="1:5" x14ac:dyDescent="0.35">
      <c r="A279" t="s">
        <v>402</v>
      </c>
      <c r="B279" t="s">
        <v>388</v>
      </c>
      <c r="C279" t="s">
        <v>127</v>
      </c>
      <c r="E279">
        <v>5032</v>
      </c>
    </row>
    <row r="280" spans="1:5" x14ac:dyDescent="0.35">
      <c r="A280" t="s">
        <v>403</v>
      </c>
      <c r="B280" t="s">
        <v>388</v>
      </c>
      <c r="C280">
        <v>3</v>
      </c>
      <c r="E280">
        <v>5033</v>
      </c>
    </row>
    <row r="281" spans="1:5" x14ac:dyDescent="0.35">
      <c r="A281" t="s">
        <v>404</v>
      </c>
      <c r="B281" t="s">
        <v>388</v>
      </c>
      <c r="C281">
        <v>2</v>
      </c>
      <c r="E281">
        <v>5034</v>
      </c>
    </row>
    <row r="282" spans="1:5" x14ac:dyDescent="0.35">
      <c r="A282" t="s">
        <v>405</v>
      </c>
      <c r="B282" t="s">
        <v>388</v>
      </c>
      <c r="C282">
        <v>1</v>
      </c>
      <c r="E282">
        <v>5035</v>
      </c>
    </row>
    <row r="283" spans="1:5" x14ac:dyDescent="0.35">
      <c r="A283" t="s">
        <v>406</v>
      </c>
      <c r="B283" t="s">
        <v>388</v>
      </c>
      <c r="C283" t="s">
        <v>127</v>
      </c>
      <c r="E283">
        <v>5036</v>
      </c>
    </row>
    <row r="284" spans="1:5" x14ac:dyDescent="0.35">
      <c r="A284" t="s">
        <v>407</v>
      </c>
      <c r="B284" t="s">
        <v>388</v>
      </c>
      <c r="C284">
        <v>1</v>
      </c>
      <c r="E284">
        <v>5037</v>
      </c>
    </row>
    <row r="285" spans="1:5" x14ac:dyDescent="0.35">
      <c r="A285" t="s">
        <v>408</v>
      </c>
      <c r="B285" t="s">
        <v>388</v>
      </c>
      <c r="C285">
        <v>1</v>
      </c>
      <c r="E285">
        <v>5038</v>
      </c>
    </row>
    <row r="286" spans="1:5" x14ac:dyDescent="0.35">
      <c r="A286" t="s">
        <v>409</v>
      </c>
      <c r="B286" t="s">
        <v>388</v>
      </c>
      <c r="C286">
        <v>4</v>
      </c>
      <c r="E286">
        <v>5041</v>
      </c>
    </row>
    <row r="287" spans="1:5" x14ac:dyDescent="0.35">
      <c r="A287" t="s">
        <v>410</v>
      </c>
      <c r="B287" t="s">
        <v>388</v>
      </c>
      <c r="C287">
        <v>4</v>
      </c>
      <c r="E287">
        <v>5042</v>
      </c>
    </row>
    <row r="288" spans="1:5" x14ac:dyDescent="0.35">
      <c r="A288" t="s">
        <v>411</v>
      </c>
      <c r="B288" t="s">
        <v>388</v>
      </c>
      <c r="C288">
        <v>4</v>
      </c>
      <c r="E288">
        <v>5043</v>
      </c>
    </row>
    <row r="289" spans="1:5" x14ac:dyDescent="0.35">
      <c r="A289" t="s">
        <v>412</v>
      </c>
      <c r="B289" t="s">
        <v>388</v>
      </c>
      <c r="C289">
        <v>4</v>
      </c>
      <c r="E289">
        <v>5044</v>
      </c>
    </row>
    <row r="290" spans="1:5" x14ac:dyDescent="0.35">
      <c r="A290" t="s">
        <v>413</v>
      </c>
      <c r="B290" t="s">
        <v>388</v>
      </c>
      <c r="C290">
        <v>4</v>
      </c>
      <c r="E290">
        <v>5045</v>
      </c>
    </row>
    <row r="291" spans="1:5" x14ac:dyDescent="0.35">
      <c r="A291" t="s">
        <v>414</v>
      </c>
      <c r="B291" t="s">
        <v>388</v>
      </c>
      <c r="C291">
        <v>4</v>
      </c>
      <c r="E291">
        <v>5046</v>
      </c>
    </row>
    <row r="292" spans="1:5" x14ac:dyDescent="0.35">
      <c r="A292" t="s">
        <v>415</v>
      </c>
      <c r="B292" t="s">
        <v>388</v>
      </c>
      <c r="C292">
        <v>4</v>
      </c>
      <c r="E292">
        <v>5047</v>
      </c>
    </row>
    <row r="293" spans="1:5" x14ac:dyDescent="0.35">
      <c r="A293" t="s">
        <v>416</v>
      </c>
      <c r="B293" t="s">
        <v>388</v>
      </c>
      <c r="C293">
        <v>4</v>
      </c>
      <c r="E293">
        <v>5049</v>
      </c>
    </row>
    <row r="294" spans="1:5" x14ac:dyDescent="0.35">
      <c r="A294" t="s">
        <v>417</v>
      </c>
      <c r="B294" t="s">
        <v>388</v>
      </c>
      <c r="C294">
        <v>4</v>
      </c>
      <c r="E294">
        <v>5052</v>
      </c>
    </row>
    <row r="295" spans="1:5" x14ac:dyDescent="0.35">
      <c r="A295" t="s">
        <v>418</v>
      </c>
      <c r="B295" t="s">
        <v>388</v>
      </c>
      <c r="C295">
        <v>2</v>
      </c>
      <c r="E295">
        <v>5053</v>
      </c>
    </row>
    <row r="296" spans="1:5" x14ac:dyDescent="0.35">
      <c r="A296" t="s">
        <v>419</v>
      </c>
      <c r="B296" t="s">
        <v>388</v>
      </c>
      <c r="C296">
        <v>2</v>
      </c>
      <c r="D296" t="s">
        <v>420</v>
      </c>
      <c r="E296">
        <v>5054</v>
      </c>
    </row>
    <row r="297" spans="1:5" x14ac:dyDescent="0.35">
      <c r="A297" t="s">
        <v>421</v>
      </c>
      <c r="B297" t="s">
        <v>388</v>
      </c>
      <c r="C297">
        <v>3</v>
      </c>
      <c r="E297">
        <v>5055</v>
      </c>
    </row>
    <row r="298" spans="1:5" x14ac:dyDescent="0.35">
      <c r="A298" t="s">
        <v>422</v>
      </c>
      <c r="B298" t="s">
        <v>388</v>
      </c>
      <c r="C298">
        <v>3</v>
      </c>
      <c r="E298">
        <v>5056</v>
      </c>
    </row>
    <row r="299" spans="1:5" x14ac:dyDescent="0.35">
      <c r="A299" t="s">
        <v>423</v>
      </c>
      <c r="B299" t="s">
        <v>388</v>
      </c>
      <c r="C299">
        <v>3</v>
      </c>
      <c r="D299" t="s">
        <v>424</v>
      </c>
      <c r="E299">
        <v>5057</v>
      </c>
    </row>
    <row r="300" spans="1:5" x14ac:dyDescent="0.35">
      <c r="A300" t="s">
        <v>423</v>
      </c>
      <c r="B300" t="s">
        <v>388</v>
      </c>
      <c r="C300">
        <v>2</v>
      </c>
      <c r="E300">
        <v>5057</v>
      </c>
    </row>
    <row r="301" spans="1:5" x14ac:dyDescent="0.35">
      <c r="A301" t="s">
        <v>425</v>
      </c>
      <c r="B301" t="s">
        <v>388</v>
      </c>
      <c r="C301">
        <v>4</v>
      </c>
      <c r="E301">
        <v>5058</v>
      </c>
    </row>
    <row r="302" spans="1:5" x14ac:dyDescent="0.35">
      <c r="A302" t="s">
        <v>426</v>
      </c>
      <c r="B302" t="s">
        <v>388</v>
      </c>
      <c r="C302">
        <v>2</v>
      </c>
      <c r="D302" t="s">
        <v>427</v>
      </c>
      <c r="E302">
        <v>5059</v>
      </c>
    </row>
    <row r="303" spans="1:5" x14ac:dyDescent="0.35">
      <c r="A303" t="s">
        <v>426</v>
      </c>
      <c r="B303" t="s">
        <v>388</v>
      </c>
      <c r="C303">
        <v>3</v>
      </c>
      <c r="D303" t="s">
        <v>428</v>
      </c>
      <c r="E303">
        <v>5059</v>
      </c>
    </row>
    <row r="304" spans="1:5" x14ac:dyDescent="0.35">
      <c r="A304" t="s">
        <v>426</v>
      </c>
      <c r="B304" t="s">
        <v>388</v>
      </c>
      <c r="C304">
        <v>1</v>
      </c>
      <c r="E304">
        <v>5059</v>
      </c>
    </row>
    <row r="305" spans="1:5" x14ac:dyDescent="0.35">
      <c r="A305" t="s">
        <v>429</v>
      </c>
      <c r="B305" t="s">
        <v>388</v>
      </c>
      <c r="C305">
        <v>4</v>
      </c>
      <c r="E305">
        <v>5060</v>
      </c>
    </row>
    <row r="306" spans="1:5" x14ac:dyDescent="0.35">
      <c r="A306" t="s">
        <v>430</v>
      </c>
      <c r="B306" t="s">
        <v>388</v>
      </c>
      <c r="C306">
        <v>3</v>
      </c>
      <c r="E306">
        <v>5061</v>
      </c>
    </row>
    <row r="307" spans="1:5" x14ac:dyDescent="0.35">
      <c r="A307" t="s">
        <v>431</v>
      </c>
      <c r="B307" t="s">
        <v>432</v>
      </c>
      <c r="C307">
        <v>1</v>
      </c>
      <c r="E307">
        <v>3901</v>
      </c>
    </row>
    <row r="308" spans="1:5" x14ac:dyDescent="0.35">
      <c r="A308" t="s">
        <v>433</v>
      </c>
      <c r="B308" t="s">
        <v>432</v>
      </c>
      <c r="C308">
        <v>1</v>
      </c>
      <c r="E308">
        <v>3903</v>
      </c>
    </row>
    <row r="309" spans="1:5" x14ac:dyDescent="0.35">
      <c r="A309" t="s">
        <v>434</v>
      </c>
      <c r="B309" t="s">
        <v>432</v>
      </c>
      <c r="C309">
        <v>1</v>
      </c>
      <c r="E309">
        <v>3905</v>
      </c>
    </row>
    <row r="310" spans="1:5" x14ac:dyDescent="0.35">
      <c r="A310" t="s">
        <v>435</v>
      </c>
      <c r="B310" t="s">
        <v>432</v>
      </c>
      <c r="C310">
        <v>1</v>
      </c>
      <c r="E310">
        <v>3907</v>
      </c>
    </row>
    <row r="311" spans="1:5" x14ac:dyDescent="0.35">
      <c r="A311" t="s">
        <v>436</v>
      </c>
      <c r="B311" t="s">
        <v>432</v>
      </c>
      <c r="C311">
        <v>1</v>
      </c>
      <c r="E311">
        <v>3909</v>
      </c>
    </row>
    <row r="312" spans="1:5" x14ac:dyDescent="0.35">
      <c r="A312" t="s">
        <v>437</v>
      </c>
      <c r="B312" t="s">
        <v>432</v>
      </c>
      <c r="C312">
        <v>1</v>
      </c>
      <c r="E312">
        <v>3911</v>
      </c>
    </row>
    <row r="313" spans="1:5" x14ac:dyDescent="0.35">
      <c r="A313" t="s">
        <v>438</v>
      </c>
      <c r="B313" t="s">
        <v>439</v>
      </c>
      <c r="C313">
        <v>1</v>
      </c>
      <c r="E313">
        <v>4601</v>
      </c>
    </row>
    <row r="314" spans="1:5" x14ac:dyDescent="0.35">
      <c r="A314" t="s">
        <v>440</v>
      </c>
      <c r="B314" t="s">
        <v>439</v>
      </c>
      <c r="C314" t="s">
        <v>127</v>
      </c>
      <c r="D314" t="s">
        <v>441</v>
      </c>
      <c r="E314">
        <v>4602</v>
      </c>
    </row>
    <row r="315" spans="1:5" x14ac:dyDescent="0.35">
      <c r="A315" t="s">
        <v>440</v>
      </c>
      <c r="B315" t="s">
        <v>439</v>
      </c>
      <c r="C315">
        <v>2</v>
      </c>
      <c r="D315" t="s">
        <v>442</v>
      </c>
      <c r="E315">
        <v>4602</v>
      </c>
    </row>
    <row r="316" spans="1:5" x14ac:dyDescent="0.35">
      <c r="A316" t="s">
        <v>443</v>
      </c>
      <c r="B316" t="s">
        <v>439</v>
      </c>
      <c r="C316" t="s">
        <v>127</v>
      </c>
      <c r="E316">
        <v>4611</v>
      </c>
    </row>
    <row r="317" spans="1:5" x14ac:dyDescent="0.35">
      <c r="A317" t="s">
        <v>444</v>
      </c>
      <c r="B317" t="s">
        <v>439</v>
      </c>
      <c r="C317">
        <v>1</v>
      </c>
      <c r="E317">
        <v>4612</v>
      </c>
    </row>
    <row r="318" spans="1:5" x14ac:dyDescent="0.35">
      <c r="A318" t="s">
        <v>445</v>
      </c>
      <c r="B318" t="s">
        <v>439</v>
      </c>
      <c r="C318" t="s">
        <v>127</v>
      </c>
      <c r="E318">
        <v>4613</v>
      </c>
    </row>
    <row r="319" spans="1:5" x14ac:dyDescent="0.35">
      <c r="A319" t="s">
        <v>446</v>
      </c>
      <c r="B319" t="s">
        <v>439</v>
      </c>
      <c r="C319">
        <v>1</v>
      </c>
      <c r="E319">
        <v>4614</v>
      </c>
    </row>
    <row r="320" spans="1:5" x14ac:dyDescent="0.35">
      <c r="A320" t="s">
        <v>447</v>
      </c>
      <c r="B320" t="s">
        <v>439</v>
      </c>
      <c r="C320">
        <v>1</v>
      </c>
      <c r="E320">
        <v>4615</v>
      </c>
    </row>
    <row r="321" spans="1:5" x14ac:dyDescent="0.35">
      <c r="A321" t="s">
        <v>448</v>
      </c>
      <c r="B321" t="s">
        <v>439</v>
      </c>
      <c r="C321">
        <v>2</v>
      </c>
      <c r="E321">
        <v>4616</v>
      </c>
    </row>
    <row r="322" spans="1:5" x14ac:dyDescent="0.35">
      <c r="A322" t="s">
        <v>449</v>
      </c>
      <c r="B322" t="s">
        <v>439</v>
      </c>
      <c r="C322">
        <v>2</v>
      </c>
      <c r="E322">
        <v>4617</v>
      </c>
    </row>
    <row r="323" spans="1:5" x14ac:dyDescent="0.35">
      <c r="A323" t="s">
        <v>450</v>
      </c>
      <c r="B323" t="s">
        <v>439</v>
      </c>
      <c r="C323">
        <v>2</v>
      </c>
      <c r="E323">
        <v>4618</v>
      </c>
    </row>
    <row r="324" spans="1:5" x14ac:dyDescent="0.35">
      <c r="A324" t="s">
        <v>451</v>
      </c>
      <c r="B324" t="s">
        <v>439</v>
      </c>
      <c r="C324">
        <v>2</v>
      </c>
      <c r="E324">
        <v>4619</v>
      </c>
    </row>
    <row r="325" spans="1:5" x14ac:dyDescent="0.35">
      <c r="A325" t="s">
        <v>452</v>
      </c>
      <c r="B325" t="s">
        <v>439</v>
      </c>
      <c r="C325">
        <v>2</v>
      </c>
      <c r="E325">
        <v>4620</v>
      </c>
    </row>
    <row r="326" spans="1:5" x14ac:dyDescent="0.35">
      <c r="A326" t="s">
        <v>453</v>
      </c>
      <c r="B326" t="s">
        <v>439</v>
      </c>
      <c r="C326">
        <v>2</v>
      </c>
      <c r="D326" t="s">
        <v>454</v>
      </c>
      <c r="E326">
        <v>4621</v>
      </c>
    </row>
    <row r="327" spans="1:5" x14ac:dyDescent="0.35">
      <c r="A327" t="s">
        <v>453</v>
      </c>
      <c r="B327" t="s">
        <v>439</v>
      </c>
      <c r="C327">
        <v>1</v>
      </c>
      <c r="D327" t="s">
        <v>455</v>
      </c>
      <c r="E327">
        <v>4621</v>
      </c>
    </row>
    <row r="328" spans="1:5" x14ac:dyDescent="0.35">
      <c r="A328" t="s">
        <v>456</v>
      </c>
      <c r="B328" t="s">
        <v>439</v>
      </c>
      <c r="C328" t="s">
        <v>127</v>
      </c>
      <c r="E328">
        <v>4622</v>
      </c>
    </row>
    <row r="329" spans="1:5" x14ac:dyDescent="0.35">
      <c r="A329" t="s">
        <v>457</v>
      </c>
      <c r="B329" t="s">
        <v>439</v>
      </c>
      <c r="C329">
        <v>1</v>
      </c>
      <c r="E329">
        <v>4623</v>
      </c>
    </row>
    <row r="330" spans="1:5" x14ac:dyDescent="0.35">
      <c r="A330" t="s">
        <v>458</v>
      </c>
      <c r="B330" t="s">
        <v>439</v>
      </c>
      <c r="C330">
        <v>1</v>
      </c>
      <c r="E330">
        <v>4624</v>
      </c>
    </row>
    <row r="331" spans="1:5" x14ac:dyDescent="0.35">
      <c r="A331" t="s">
        <v>459</v>
      </c>
      <c r="B331" t="s">
        <v>439</v>
      </c>
      <c r="C331">
        <v>1</v>
      </c>
      <c r="E331">
        <v>4625</v>
      </c>
    </row>
    <row r="332" spans="1:5" x14ac:dyDescent="0.35">
      <c r="A332" t="s">
        <v>460</v>
      </c>
      <c r="B332" t="s">
        <v>439</v>
      </c>
      <c r="C332">
        <v>1</v>
      </c>
      <c r="E332">
        <v>4626</v>
      </c>
    </row>
    <row r="333" spans="1:5" x14ac:dyDescent="0.35">
      <c r="A333" t="s">
        <v>461</v>
      </c>
      <c r="B333" t="s">
        <v>439</v>
      </c>
      <c r="C333">
        <v>1</v>
      </c>
      <c r="E333">
        <v>4627</v>
      </c>
    </row>
    <row r="334" spans="1:5" x14ac:dyDescent="0.35">
      <c r="A334" t="s">
        <v>462</v>
      </c>
      <c r="B334" t="s">
        <v>439</v>
      </c>
      <c r="C334">
        <v>1</v>
      </c>
      <c r="E334">
        <v>4628</v>
      </c>
    </row>
    <row r="335" spans="1:5" x14ac:dyDescent="0.35">
      <c r="A335" t="s">
        <v>463</v>
      </c>
      <c r="B335" t="s">
        <v>439</v>
      </c>
      <c r="C335">
        <v>2</v>
      </c>
      <c r="E335">
        <v>4629</v>
      </c>
    </row>
    <row r="336" spans="1:5" x14ac:dyDescent="0.35">
      <c r="A336" t="s">
        <v>464</v>
      </c>
      <c r="B336" t="s">
        <v>439</v>
      </c>
      <c r="C336">
        <v>1</v>
      </c>
      <c r="E336">
        <v>4630</v>
      </c>
    </row>
    <row r="337" spans="1:5" x14ac:dyDescent="0.35">
      <c r="A337" t="s">
        <v>465</v>
      </c>
      <c r="B337" t="s">
        <v>439</v>
      </c>
      <c r="C337">
        <v>1</v>
      </c>
      <c r="E337">
        <v>4631</v>
      </c>
    </row>
    <row r="338" spans="1:5" x14ac:dyDescent="0.35">
      <c r="A338" t="s">
        <v>466</v>
      </c>
      <c r="B338" t="s">
        <v>439</v>
      </c>
      <c r="C338">
        <v>1</v>
      </c>
      <c r="E338">
        <v>4632</v>
      </c>
    </row>
    <row r="339" spans="1:5" x14ac:dyDescent="0.35">
      <c r="A339" t="s">
        <v>467</v>
      </c>
      <c r="B339" t="s">
        <v>439</v>
      </c>
      <c r="C339">
        <v>2</v>
      </c>
      <c r="E339">
        <v>4633</v>
      </c>
    </row>
    <row r="340" spans="1:5" x14ac:dyDescent="0.35">
      <c r="A340" t="s">
        <v>468</v>
      </c>
      <c r="B340" t="s">
        <v>439</v>
      </c>
      <c r="C340">
        <v>2</v>
      </c>
      <c r="E340">
        <v>4634</v>
      </c>
    </row>
    <row r="341" spans="1:5" x14ac:dyDescent="0.35">
      <c r="A341" t="s">
        <v>469</v>
      </c>
      <c r="B341" t="s">
        <v>439</v>
      </c>
      <c r="C341">
        <v>2</v>
      </c>
      <c r="E341">
        <v>4635</v>
      </c>
    </row>
    <row r="342" spans="1:5" x14ac:dyDescent="0.35">
      <c r="A342" t="s">
        <v>470</v>
      </c>
      <c r="B342" t="s">
        <v>439</v>
      </c>
      <c r="C342">
        <v>2</v>
      </c>
      <c r="E342">
        <v>4636</v>
      </c>
    </row>
    <row r="343" spans="1:5" x14ac:dyDescent="0.35">
      <c r="A343" t="s">
        <v>471</v>
      </c>
      <c r="B343" t="s">
        <v>439</v>
      </c>
      <c r="C343">
        <v>2</v>
      </c>
      <c r="E343">
        <v>4637</v>
      </c>
    </row>
    <row r="344" spans="1:5" x14ac:dyDescent="0.35">
      <c r="A344" t="s">
        <v>472</v>
      </c>
      <c r="B344" t="s">
        <v>439</v>
      </c>
      <c r="C344">
        <v>2</v>
      </c>
      <c r="E344">
        <v>4638</v>
      </c>
    </row>
    <row r="345" spans="1:5" x14ac:dyDescent="0.35">
      <c r="A345" t="s">
        <v>473</v>
      </c>
      <c r="B345" t="s">
        <v>439</v>
      </c>
      <c r="C345">
        <v>2</v>
      </c>
      <c r="E345">
        <v>4639</v>
      </c>
    </row>
    <row r="346" spans="1:5" x14ac:dyDescent="0.35">
      <c r="A346" t="s">
        <v>474</v>
      </c>
      <c r="B346" t="s">
        <v>439</v>
      </c>
      <c r="C346">
        <v>2</v>
      </c>
      <c r="D346" t="s">
        <v>475</v>
      </c>
      <c r="E346">
        <v>4640</v>
      </c>
    </row>
    <row r="347" spans="1:5" x14ac:dyDescent="0.35">
      <c r="A347" t="s">
        <v>474</v>
      </c>
      <c r="B347" t="s">
        <v>439</v>
      </c>
      <c r="C347" t="s">
        <v>127</v>
      </c>
      <c r="E347">
        <v>4640</v>
      </c>
    </row>
    <row r="348" spans="1:5" x14ac:dyDescent="0.35">
      <c r="A348" t="s">
        <v>476</v>
      </c>
      <c r="B348" t="s">
        <v>439</v>
      </c>
      <c r="C348">
        <v>2</v>
      </c>
      <c r="E348">
        <v>4641</v>
      </c>
    </row>
    <row r="349" spans="1:5" x14ac:dyDescent="0.35">
      <c r="A349" t="s">
        <v>477</v>
      </c>
      <c r="B349" t="s">
        <v>439</v>
      </c>
      <c r="C349">
        <v>2</v>
      </c>
      <c r="E349">
        <v>4642</v>
      </c>
    </row>
    <row r="350" spans="1:5" x14ac:dyDescent="0.35">
      <c r="A350" t="s">
        <v>478</v>
      </c>
      <c r="B350" t="s">
        <v>439</v>
      </c>
      <c r="C350">
        <v>2</v>
      </c>
      <c r="E350">
        <v>4643</v>
      </c>
    </row>
    <row r="351" spans="1:5" x14ac:dyDescent="0.35">
      <c r="A351" t="s">
        <v>479</v>
      </c>
      <c r="B351" t="s">
        <v>439</v>
      </c>
      <c r="C351">
        <v>2</v>
      </c>
      <c r="E351">
        <v>4644</v>
      </c>
    </row>
    <row r="352" spans="1:5" x14ac:dyDescent="0.35">
      <c r="A352" t="s">
        <v>480</v>
      </c>
      <c r="B352" t="s">
        <v>439</v>
      </c>
      <c r="C352">
        <v>2</v>
      </c>
      <c r="E352">
        <v>4645</v>
      </c>
    </row>
    <row r="353" spans="1:5" x14ac:dyDescent="0.35">
      <c r="A353" t="s">
        <v>481</v>
      </c>
      <c r="B353" t="s">
        <v>439</v>
      </c>
      <c r="C353">
        <v>2</v>
      </c>
      <c r="E353">
        <v>4646</v>
      </c>
    </row>
    <row r="354" spans="1:5" x14ac:dyDescent="0.35">
      <c r="A354" t="s">
        <v>482</v>
      </c>
      <c r="B354" t="s">
        <v>439</v>
      </c>
      <c r="C354" t="s">
        <v>127</v>
      </c>
      <c r="D354" t="s">
        <v>483</v>
      </c>
      <c r="E354">
        <v>4647</v>
      </c>
    </row>
    <row r="355" spans="1:5" x14ac:dyDescent="0.35">
      <c r="A355" t="s">
        <v>482</v>
      </c>
      <c r="B355" t="s">
        <v>439</v>
      </c>
      <c r="C355">
        <v>2</v>
      </c>
      <c r="D355" t="s">
        <v>484</v>
      </c>
      <c r="E355">
        <v>4647</v>
      </c>
    </row>
    <row r="356" spans="1:5" x14ac:dyDescent="0.35">
      <c r="A356" t="s">
        <v>485</v>
      </c>
      <c r="B356" t="s">
        <v>439</v>
      </c>
      <c r="C356">
        <v>2</v>
      </c>
      <c r="E356">
        <v>4648</v>
      </c>
    </row>
    <row r="357" spans="1:5" x14ac:dyDescent="0.35">
      <c r="A357" t="s">
        <v>486</v>
      </c>
      <c r="B357" t="s">
        <v>439</v>
      </c>
      <c r="C357">
        <v>2</v>
      </c>
      <c r="E357">
        <v>4649</v>
      </c>
    </row>
    <row r="358" spans="1:5" x14ac:dyDescent="0.35">
      <c r="A358" t="s">
        <v>487</v>
      </c>
      <c r="B358" t="s">
        <v>439</v>
      </c>
      <c r="C358">
        <v>2</v>
      </c>
      <c r="E358">
        <v>4650</v>
      </c>
    </row>
    <row r="359" spans="1:5" x14ac:dyDescent="0.35">
      <c r="A359" t="s">
        <v>488</v>
      </c>
      <c r="B359" t="s">
        <v>439</v>
      </c>
      <c r="C359">
        <v>2</v>
      </c>
      <c r="E359">
        <v>4651</v>
      </c>
    </row>
    <row r="360" spans="1:5" x14ac:dyDescent="0.35">
      <c r="A360" t="s">
        <v>489</v>
      </c>
      <c r="B360" t="s">
        <v>490</v>
      </c>
      <c r="C360">
        <v>1</v>
      </c>
      <c r="E360">
        <v>3101</v>
      </c>
    </row>
    <row r="361" spans="1:5" x14ac:dyDescent="0.35">
      <c r="A361" t="s">
        <v>491</v>
      </c>
      <c r="B361" t="s">
        <v>490</v>
      </c>
      <c r="C361">
        <v>1</v>
      </c>
      <c r="E361">
        <v>3103</v>
      </c>
    </row>
    <row r="362" spans="1:5" x14ac:dyDescent="0.35">
      <c r="A362" t="s">
        <v>492</v>
      </c>
      <c r="B362" t="s">
        <v>490</v>
      </c>
      <c r="C362">
        <v>1</v>
      </c>
      <c r="E362">
        <v>3105</v>
      </c>
    </row>
    <row r="363" spans="1:5" x14ac:dyDescent="0.35">
      <c r="A363" t="s">
        <v>493</v>
      </c>
      <c r="B363" t="s">
        <v>490</v>
      </c>
      <c r="C363">
        <v>1</v>
      </c>
      <c r="E363">
        <v>3107</v>
      </c>
    </row>
    <row r="364" spans="1:5" x14ac:dyDescent="0.35">
      <c r="A364" t="s">
        <v>494</v>
      </c>
      <c r="B364" t="s">
        <v>490</v>
      </c>
      <c r="C364">
        <v>1</v>
      </c>
      <c r="E364">
        <v>3110</v>
      </c>
    </row>
    <row r="365" spans="1:5" x14ac:dyDescent="0.35">
      <c r="A365" t="s">
        <v>495</v>
      </c>
      <c r="B365" t="s">
        <v>490</v>
      </c>
      <c r="C365">
        <v>1</v>
      </c>
      <c r="E365">
        <v>3112</v>
      </c>
    </row>
    <row r="366" spans="1:5" x14ac:dyDescent="0.35">
      <c r="A366" t="s">
        <v>496</v>
      </c>
      <c r="B366" t="s">
        <v>490</v>
      </c>
      <c r="C366">
        <v>1</v>
      </c>
      <c r="E366">
        <v>3114</v>
      </c>
    </row>
    <row r="367" spans="1:5" x14ac:dyDescent="0.35">
      <c r="A367" t="s">
        <v>497</v>
      </c>
      <c r="B367" t="s">
        <v>490</v>
      </c>
      <c r="C367">
        <v>1</v>
      </c>
      <c r="E367">
        <v>3116</v>
      </c>
    </row>
    <row r="368" spans="1:5" x14ac:dyDescent="0.35">
      <c r="A368" t="s">
        <v>498</v>
      </c>
      <c r="B368" t="s">
        <v>490</v>
      </c>
      <c r="C368">
        <v>1</v>
      </c>
      <c r="E368">
        <v>3118</v>
      </c>
    </row>
    <row r="369" spans="1:5" x14ac:dyDescent="0.35">
      <c r="A369" t="s">
        <v>499</v>
      </c>
      <c r="B369" t="s">
        <v>490</v>
      </c>
      <c r="C369">
        <v>1</v>
      </c>
      <c r="E369">
        <v>3120</v>
      </c>
    </row>
    <row r="370" spans="1:5" x14ac:dyDescent="0.35">
      <c r="A370" t="s">
        <v>500</v>
      </c>
      <c r="B370" t="s">
        <v>490</v>
      </c>
      <c r="C370">
        <v>1</v>
      </c>
      <c r="E370">
        <v>3122</v>
      </c>
    </row>
    <row r="371" spans="1:5" x14ac:dyDescent="0.35">
      <c r="A371" t="s">
        <v>501</v>
      </c>
      <c r="B371" t="s">
        <v>490</v>
      </c>
      <c r="C371">
        <v>1</v>
      </c>
      <c r="E371">
        <v>3124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AE392-6E7F-47A2-80F5-AA174B9B64A5}">
  <dimension ref="B1:AC83"/>
  <sheetViews>
    <sheetView showGridLines="0" zoomScale="90" zoomScaleNormal="90" workbookViewId="0">
      <selection activeCell="G11" sqref="G11"/>
    </sheetView>
  </sheetViews>
  <sheetFormatPr baseColWidth="10" defaultColWidth="11.453125" defaultRowHeight="14.5" x14ac:dyDescent="0.35"/>
  <cols>
    <col min="1" max="1" width="6.7265625" style="21" customWidth="1"/>
    <col min="2" max="2" width="41.54296875" style="21" customWidth="1"/>
    <col min="3" max="3" width="14.1796875" style="93" bestFit="1" customWidth="1"/>
    <col min="4" max="4" width="3.26953125" style="21" customWidth="1"/>
    <col min="5" max="5" width="10.7265625" style="96" customWidth="1"/>
    <col min="6" max="6" width="42.26953125" style="21" customWidth="1"/>
    <col min="7" max="7" width="35.26953125" style="23" customWidth="1"/>
    <col min="8" max="8" width="3.26953125" style="23" customWidth="1"/>
    <col min="9" max="9" width="10.7265625" style="23" customWidth="1"/>
    <col min="10" max="10" width="37.26953125" style="23" customWidth="1"/>
    <col min="11" max="11" width="15.81640625" style="23" customWidth="1"/>
    <col min="12" max="12" width="9.453125" style="23" customWidth="1"/>
    <col min="13" max="13" width="4" style="23" customWidth="1"/>
    <col min="14" max="14" width="37.54296875" style="23" customWidth="1"/>
    <col min="15" max="15" width="11.26953125" style="23" customWidth="1"/>
    <col min="16" max="16" width="5.453125" style="21" customWidth="1"/>
    <col min="17" max="17" width="14" style="21" customWidth="1"/>
    <col min="18" max="18" width="17.7265625" style="21" customWidth="1"/>
    <col min="19" max="19" width="17.7265625" style="94" customWidth="1"/>
    <col min="20" max="22" width="17.7265625" style="21" customWidth="1"/>
    <col min="23" max="23" width="17.7265625" style="95" customWidth="1"/>
    <col min="24" max="24" width="17.7265625" style="21" customWidth="1"/>
    <col min="25" max="25" width="14" style="21" customWidth="1"/>
    <col min="26" max="26" width="25.54296875" style="96" customWidth="1"/>
    <col min="27" max="27" width="13.453125" style="96" customWidth="1"/>
    <col min="28" max="28" width="14.54296875" style="96" customWidth="1"/>
    <col min="29" max="29" width="10.1796875" style="96" customWidth="1"/>
    <col min="30" max="16384" width="11.453125" style="21"/>
  </cols>
  <sheetData>
    <row r="1" spans="2:29" x14ac:dyDescent="0.35">
      <c r="P1" s="23"/>
    </row>
    <row r="2" spans="2:29" ht="31" x14ac:dyDescent="0.7">
      <c r="B2" s="65" t="s">
        <v>564</v>
      </c>
      <c r="P2" s="23"/>
      <c r="R2" s="217" t="s">
        <v>102</v>
      </c>
      <c r="S2" s="218"/>
      <c r="T2" s="219"/>
      <c r="U2" s="219"/>
      <c r="V2" s="219"/>
      <c r="W2" s="220"/>
      <c r="X2" s="219"/>
      <c r="Y2" s="219"/>
      <c r="Z2" s="221"/>
      <c r="AA2" s="221"/>
      <c r="AB2" s="221"/>
      <c r="AC2" s="221"/>
    </row>
    <row r="3" spans="2:29" ht="18.5" x14ac:dyDescent="0.45">
      <c r="B3" s="296" t="s">
        <v>563</v>
      </c>
      <c r="P3" s="23"/>
      <c r="R3" s="222" t="s">
        <v>100</v>
      </c>
      <c r="S3" s="218"/>
      <c r="T3" s="219"/>
      <c r="U3" s="219"/>
      <c r="V3" s="219"/>
      <c r="W3" s="220"/>
      <c r="X3" s="219"/>
      <c r="Y3" s="219"/>
      <c r="Z3" s="221"/>
      <c r="AA3" s="221"/>
      <c r="AB3" s="221"/>
      <c r="AC3" s="221"/>
    </row>
    <row r="4" spans="2:29" ht="18.5" x14ac:dyDescent="0.45">
      <c r="B4" s="296"/>
      <c r="P4" s="23"/>
      <c r="R4" s="222"/>
      <c r="S4" s="218"/>
      <c r="T4" s="219"/>
      <c r="U4" s="219"/>
      <c r="V4" s="219"/>
      <c r="W4" s="220"/>
      <c r="X4" s="219"/>
      <c r="Y4" s="219"/>
      <c r="Z4" s="221"/>
      <c r="AA4" s="221"/>
      <c r="AB4" s="221"/>
      <c r="AC4" s="221"/>
    </row>
    <row r="5" spans="2:29" ht="26.15" customHeight="1" x14ac:dyDescent="0.45">
      <c r="B5" s="375" t="s">
        <v>566</v>
      </c>
      <c r="C5" s="375"/>
      <c r="D5" s="375"/>
      <c r="E5" s="375"/>
      <c r="F5" s="375"/>
      <c r="G5" s="375"/>
      <c r="P5" s="23"/>
      <c r="R5" s="222"/>
      <c r="S5" s="218"/>
      <c r="T5" s="219"/>
      <c r="U5" s="219"/>
      <c r="V5" s="219"/>
      <c r="W5" s="220"/>
      <c r="X5" s="219"/>
      <c r="Y5" s="219"/>
      <c r="Z5" s="221"/>
      <c r="AA5" s="221"/>
      <c r="AB5" s="221"/>
      <c r="AC5" s="221"/>
    </row>
    <row r="6" spans="2:29" ht="16" x14ac:dyDescent="0.35">
      <c r="B6" s="359"/>
      <c r="C6" s="210"/>
      <c r="D6" s="96"/>
      <c r="F6" s="96"/>
      <c r="G6" s="102"/>
      <c r="R6" s="219"/>
      <c r="S6" s="218"/>
      <c r="T6" s="219"/>
      <c r="U6" s="219"/>
      <c r="V6" s="219"/>
      <c r="W6" s="220"/>
      <c r="X6" s="219"/>
      <c r="Y6" s="219"/>
      <c r="Z6" s="221"/>
      <c r="AA6" s="221"/>
      <c r="AB6" s="221"/>
      <c r="AC6" s="221"/>
    </row>
    <row r="7" spans="2:29" ht="24" customHeight="1" x14ac:dyDescent="0.5">
      <c r="B7" s="39" t="s">
        <v>535</v>
      </c>
      <c r="F7" s="39" t="s">
        <v>96</v>
      </c>
      <c r="J7" s="341" t="s">
        <v>62</v>
      </c>
      <c r="K7" s="102"/>
      <c r="N7" s="213" t="s">
        <v>97</v>
      </c>
      <c r="R7" s="223" t="s">
        <v>101</v>
      </c>
      <c r="S7" s="218"/>
      <c r="T7" s="219"/>
      <c r="U7" s="219"/>
      <c r="V7" s="219"/>
      <c r="W7" s="220"/>
      <c r="X7" s="219"/>
      <c r="Y7" s="219"/>
      <c r="Z7" s="223" t="s">
        <v>99</v>
      </c>
      <c r="AA7" s="224"/>
      <c r="AB7" s="224"/>
      <c r="AC7" s="224"/>
    </row>
    <row r="8" spans="2:29" x14ac:dyDescent="0.35">
      <c r="B8" s="342" t="s">
        <v>515</v>
      </c>
      <c r="F8" s="343" t="s">
        <v>567</v>
      </c>
      <c r="J8" s="344" t="s">
        <v>506</v>
      </c>
      <c r="K8" s="102"/>
      <c r="M8" s="96"/>
      <c r="N8" s="96"/>
      <c r="O8" s="210"/>
      <c r="P8" s="96"/>
      <c r="Q8" s="96"/>
      <c r="R8" s="219"/>
      <c r="S8" s="218"/>
      <c r="T8" s="219"/>
      <c r="U8" s="219"/>
      <c r="V8" s="219"/>
      <c r="W8" s="220"/>
      <c r="X8" s="219"/>
      <c r="Y8" s="219"/>
      <c r="Z8" s="221"/>
      <c r="AA8" s="221"/>
      <c r="AB8" s="221"/>
      <c r="AC8" s="221"/>
    </row>
    <row r="9" spans="2:29" ht="33" x14ac:dyDescent="0.5">
      <c r="B9" s="22" t="s">
        <v>45</v>
      </c>
      <c r="C9" s="345"/>
      <c r="F9" s="22" t="s">
        <v>505</v>
      </c>
      <c r="G9" s="33"/>
      <c r="J9" s="277" t="s">
        <v>50</v>
      </c>
      <c r="K9" s="346" t="s">
        <v>4</v>
      </c>
      <c r="M9" s="138"/>
      <c r="N9" s="86" t="s">
        <v>69</v>
      </c>
      <c r="O9" s="139"/>
      <c r="P9" s="138"/>
      <c r="R9" s="225" t="s">
        <v>21</v>
      </c>
      <c r="S9" s="226" t="s">
        <v>29</v>
      </c>
      <c r="T9" s="227" t="s">
        <v>20</v>
      </c>
      <c r="U9" s="226" t="s">
        <v>24</v>
      </c>
      <c r="V9" s="260" t="s">
        <v>28</v>
      </c>
      <c r="W9" s="227" t="s">
        <v>25</v>
      </c>
      <c r="X9" s="228" t="s">
        <v>26</v>
      </c>
      <c r="Y9" s="219"/>
      <c r="Z9" s="229"/>
      <c r="AA9" s="230"/>
      <c r="AB9" s="231" t="s">
        <v>4</v>
      </c>
      <c r="AC9" s="224"/>
    </row>
    <row r="10" spans="2:29" ht="18" customHeight="1" thickBot="1" x14ac:dyDescent="0.45">
      <c r="B10" s="17" t="s">
        <v>529</v>
      </c>
      <c r="C10" s="300"/>
      <c r="J10" s="278" t="s">
        <v>40</v>
      </c>
      <c r="K10" s="279">
        <f>G21</f>
        <v>0</v>
      </c>
      <c r="M10" s="138"/>
      <c r="N10" s="138"/>
      <c r="O10" s="140"/>
      <c r="P10" s="138"/>
      <c r="R10" s="232">
        <f>IF(G21*(1+AA29)&gt;AB19*(1+AA29),AB19*(1+AA29),G21*(1+AA29))</f>
        <v>0</v>
      </c>
      <c r="S10" s="233"/>
      <c r="T10" s="234">
        <f>R10/(1+AA29)</f>
        <v>0</v>
      </c>
      <c r="U10" s="233"/>
      <c r="V10" s="261">
        <f>IF(R10=0,0,X10/R10)</f>
        <v>0</v>
      </c>
      <c r="W10" s="234">
        <f>X10</f>
        <v>0</v>
      </c>
      <c r="X10" s="235">
        <f>IF(G21&gt;AB19,((AB19-AB13-AB10)*AA16)+(AB19*AA26)+(AB19*(1+AA29)-AB19),IF(K10-K11-K12&lt;=0,K28,IF(AND(G21&lt;=AB19,K13&gt;0),K28,0)))</f>
        <v>0</v>
      </c>
      <c r="Y10" s="219"/>
      <c r="Z10" s="236" t="s">
        <v>16</v>
      </c>
      <c r="AA10" s="237"/>
      <c r="AB10" s="238">
        <v>114540</v>
      </c>
      <c r="AC10" s="224"/>
    </row>
    <row r="11" spans="2:29" ht="18" customHeight="1" thickBot="1" x14ac:dyDescent="0.45">
      <c r="F11" s="17" t="s">
        <v>47</v>
      </c>
      <c r="G11" s="24" t="s">
        <v>32</v>
      </c>
      <c r="H11" s="25"/>
      <c r="I11" s="25"/>
      <c r="J11" s="278" t="s">
        <v>1</v>
      </c>
      <c r="K11" s="279">
        <f>IF(K10*AA13&gt;=AB13,AB13,K10*AA13)</f>
        <v>0</v>
      </c>
      <c r="L11" s="25"/>
      <c r="M11" s="138"/>
      <c r="N11" s="85" t="s">
        <v>68</v>
      </c>
      <c r="O11" s="141"/>
      <c r="P11" s="138"/>
      <c r="R11" s="239">
        <f>IF($G$21*(1+$AA$29)&gt;AB20*(1+$AA$29),AB20*(1+$AA$29)-R10,IF(AND($G$21*(1+$AA$29)&gt;AB19*(1+$AA$29),$G$21*(1+$AA$29)&lt;=AB20*(1+$AA$29)),$G$21*(1+$AA$29)-R10,0))</f>
        <v>0</v>
      </c>
      <c r="S11" s="240">
        <f>IF(R11=0,0,R10+R11)</f>
        <v>0</v>
      </c>
      <c r="T11" s="240">
        <f>R11/(1+$AA$29)</f>
        <v>0</v>
      </c>
      <c r="U11" s="240">
        <f>IF(T11=0,0,T10+T11)</f>
        <v>0</v>
      </c>
      <c r="V11" s="262">
        <f t="shared" ref="V11:V13" si="0">IF(R11=0,0,W11/R11)</f>
        <v>0</v>
      </c>
      <c r="W11" s="240">
        <f t="shared" ref="W11:W13" si="1">IF(X11=0,0,X11-X10)</f>
        <v>0</v>
      </c>
      <c r="X11" s="241">
        <f>IF(G21&gt;AB20,(((AB20-AB13-AB10)*AA16))+(AB20*AA26)+((AB20*(1+AA29))-AB20)+((AB20-AB19)*AA19),IF(AND(K10&gt;AB19,K10&lt;=AB20),((K10-K11-K12)*AA16)+(K10*AA26)+((K10-AB19)*AA19)+((K10*(1+AA29))-K10),0))</f>
        <v>0</v>
      </c>
      <c r="Y11" s="242"/>
      <c r="Z11" s="221"/>
      <c r="AA11" s="224"/>
      <c r="AB11" s="224"/>
      <c r="AC11" s="224"/>
    </row>
    <row r="12" spans="2:29" ht="18" customHeight="1" x14ac:dyDescent="0.4">
      <c r="B12" s="17" t="s">
        <v>530</v>
      </c>
      <c r="C12" s="300"/>
      <c r="J12" s="280" t="s">
        <v>16</v>
      </c>
      <c r="K12" s="281">
        <f>IF(G21=0,0,AB10)</f>
        <v>0</v>
      </c>
      <c r="M12" s="138"/>
      <c r="N12" s="79" t="s">
        <v>514</v>
      </c>
      <c r="O12" s="82">
        <f>K15+K23+K26+K34</f>
        <v>0</v>
      </c>
      <c r="P12" s="138"/>
      <c r="R12" s="239">
        <f>IF(G21*(1+AA29)&gt;AB21*(1+AA29),AB21*(1+AA29)-R11-R10,IF(AND(G21*(1+AA29)&gt;AB20+(1*AA29),G21*(1+AA29)&lt;=AB21*(1+AA29)),G21*(1+AA29)-R11-R10,0))</f>
        <v>0</v>
      </c>
      <c r="S12" s="240">
        <f t="shared" ref="S12" si="2">IF(R12=0,0,S11+R12)</f>
        <v>0</v>
      </c>
      <c r="T12" s="240">
        <f>R12/(1+$AA$29)</f>
        <v>0</v>
      </c>
      <c r="U12" s="240">
        <f t="shared" ref="U12" si="3">IF(T12=0,0,U11+T12)</f>
        <v>0</v>
      </c>
      <c r="V12" s="262">
        <f t="shared" si="0"/>
        <v>0</v>
      </c>
      <c r="W12" s="240">
        <f t="shared" si="1"/>
        <v>0</v>
      </c>
      <c r="X12" s="241">
        <f>IF(G21&gt;AB21,((((AB21-AB13-AB10)*AA16)+(AB21*AA26)+(AB20-AB19)*AA19)+(AB21-AB20)*AA20)+(AB21*(1+AA29)-AB21),IF(AND(K10&gt;AB20,K10&lt;=AB21),((K10-K11-K12)*AA16)+(K10*AA26)+((AB20-AB19)*AA19)+((K10-AB20)*AA20)+((K10*(1+AA29))-K10),0))</f>
        <v>0</v>
      </c>
      <c r="Y12" s="243"/>
      <c r="Z12" s="229"/>
      <c r="AA12" s="230" t="s">
        <v>2</v>
      </c>
      <c r="AB12" s="231" t="s">
        <v>3</v>
      </c>
      <c r="AC12" s="224"/>
    </row>
    <row r="13" spans="2:29" ht="18" customHeight="1" thickBot="1" x14ac:dyDescent="0.45">
      <c r="B13" s="17" t="s">
        <v>531</v>
      </c>
      <c r="C13" s="300"/>
      <c r="J13" s="282" t="s">
        <v>51</v>
      </c>
      <c r="K13" s="283">
        <f>IF(K10-K11-K12&lt;=0,0,K10-K11-K12)</f>
        <v>0</v>
      </c>
      <c r="M13" s="138"/>
      <c r="N13" s="80" t="s">
        <v>513</v>
      </c>
      <c r="O13" s="83">
        <f>K27+K33</f>
        <v>0</v>
      </c>
      <c r="P13" s="138"/>
      <c r="R13" s="239">
        <f>IF(G21*(1+AA29)&gt;AB22*(1+AA29),AB22*(1+AA29)-R12-R11-R10,IF(AND(G21*(1+AA29)&gt;AB21+(1*AA29),G21*(1+AA29)&lt;=AB22*(1+AA29)),G21*(1+AA29)-R12-R11-R10,0))</f>
        <v>0</v>
      </c>
      <c r="S13" s="240">
        <f>IF(R13&lt;=0.00001,0,S12+R13)</f>
        <v>0</v>
      </c>
      <c r="T13" s="240">
        <f>R13/(1+$AA$29)</f>
        <v>0</v>
      </c>
      <c r="U13" s="240">
        <f>IF(T13&lt;=0.0001,0,U12+T13)</f>
        <v>0</v>
      </c>
      <c r="V13" s="262">
        <f t="shared" si="0"/>
        <v>0</v>
      </c>
      <c r="W13" s="240">
        <f t="shared" si="1"/>
        <v>0</v>
      </c>
      <c r="X13" s="241">
        <f>IF(G21&gt;AB22,(AB22-AB13-AB10)*AA16+(AB22*AA26)+(AB20-AB19)*AA19+(AB21-AB20)*AA20+(AB22-AB21)*AA21+(AB22*(1+AA29)-AB22),IF(AND(K10&gt;AB21,K10&lt;=AB22),((K10-K11-K12)*AA16)+(K10*AA26)+(AB20-AB19)*AA19+(AB21-AB20)*AA20+(K10-AB21)*AA21+(K10*(1+AA29)-K10),0))</f>
        <v>0</v>
      </c>
      <c r="Y13" s="219"/>
      <c r="Z13" s="236" t="s">
        <v>1</v>
      </c>
      <c r="AA13" s="237">
        <v>0.46</v>
      </c>
      <c r="AB13" s="238">
        <v>95700</v>
      </c>
      <c r="AC13" s="224"/>
    </row>
    <row r="14" spans="2:29" ht="18" customHeight="1" thickBot="1" x14ac:dyDescent="0.5">
      <c r="B14" s="17" t="s">
        <v>532</v>
      </c>
      <c r="C14" s="300"/>
      <c r="F14" s="22" t="s">
        <v>577</v>
      </c>
      <c r="G14" s="353"/>
      <c r="H14" s="25"/>
      <c r="I14" s="25"/>
      <c r="J14" s="284"/>
      <c r="K14" s="279"/>
      <c r="L14" s="25"/>
      <c r="M14" s="138"/>
      <c r="N14" s="81" t="s">
        <v>56</v>
      </c>
      <c r="O14" s="84">
        <f>K28+K35</f>
        <v>0</v>
      </c>
      <c r="P14" s="138"/>
      <c r="R14" s="239">
        <f>IF(G21*(1+AA29)&gt;AB23*(1+AA29),AB23*(1+AA29)-R13-R12-R11-R10,IF(AND(G21*(1+AA29)&gt;AB22+(1*AA29),G21*(1+AA29)&lt;=AB23*(1+AA29)),G21*(1+AA29)-R13-R12-R11-R10,0))</f>
        <v>0</v>
      </c>
      <c r="S14" s="240">
        <f>IF(R14&lt;=0.0001,0,S13+R14)</f>
        <v>0</v>
      </c>
      <c r="T14" s="240">
        <f>R14/(1+$AA$29)</f>
        <v>0</v>
      </c>
      <c r="U14" s="240">
        <f>IF(T14&lt;=0.0001,0,U13+T14)</f>
        <v>0</v>
      </c>
      <c r="V14" s="262">
        <f>IF(R14=0,0,W14/R14)</f>
        <v>0</v>
      </c>
      <c r="W14" s="240">
        <f>IF(X14=0,0,X14-X13)</f>
        <v>0</v>
      </c>
      <c r="X14" s="241">
        <f>IF(G21&gt;AB23,(AB23-AB13-AB10)*AA16+(AB23*AA26)+(AB20-AB19)*AA19+(AB21-AB20)*AA20+(AB22-AB21)*AA21+(AB23-AB22)*AA22+(AB29*AA29)+(AB23-AB29)*AA29,IF(AND(K10&gt;AB22,K10&lt;=AB23),((K10-K11-K12)*AA16)+(K10*AA26)+(AB20-AB19)*AA19+(AB21-AB20)*AA20+(AB22-AB21)*AA21+(K10-AB22)*AA22+(AB29*AA29)+(K10-AB29)*AA29,0))</f>
        <v>0</v>
      </c>
      <c r="Y14" s="242"/>
      <c r="Z14" s="221"/>
      <c r="AA14" s="224"/>
      <c r="AB14" s="224"/>
      <c r="AC14" s="244"/>
    </row>
    <row r="15" spans="2:29" ht="18" customHeight="1" x14ac:dyDescent="0.4">
      <c r="B15" s="17" t="s">
        <v>533</v>
      </c>
      <c r="C15" s="300"/>
      <c r="F15" s="70" t="s">
        <v>539</v>
      </c>
      <c r="G15" s="354">
        <f>G25/(1+AA29)</f>
        <v>0</v>
      </c>
      <c r="I15" s="297" t="s">
        <v>507</v>
      </c>
      <c r="J15" s="285" t="s">
        <v>551</v>
      </c>
      <c r="K15" s="286">
        <f>IF(K13=0,0,(K13)*AA16)</f>
        <v>0</v>
      </c>
      <c r="M15" s="138"/>
      <c r="N15" s="138"/>
      <c r="O15" s="139"/>
      <c r="P15" s="138"/>
      <c r="R15" s="245">
        <f>IF((G21-AB29)*(1+AA29)+AB29*(1+AA29)&gt;(AB23-AB29)*(1+AA29)+AB29*(1+AA29),(G21-AB29)*(1+AA29)+AB29*(1+AA29)-R14-R13-R12-R11-R10,0)</f>
        <v>0</v>
      </c>
      <c r="S15" s="246">
        <f>IF(R15=0,0,S14+R15)</f>
        <v>0</v>
      </c>
      <c r="T15" s="246">
        <f>R15/(1+$AA$29)</f>
        <v>0</v>
      </c>
      <c r="U15" s="246">
        <f>IF(T15=0,0,U14+T15)</f>
        <v>0</v>
      </c>
      <c r="V15" s="263">
        <f>IF(R15=0,0,W15/R15)</f>
        <v>0</v>
      </c>
      <c r="W15" s="246">
        <f>IF(X15=0,0,X15-X14)</f>
        <v>0</v>
      </c>
      <c r="X15" s="247">
        <f>IF(G21&gt;AB23,((K10-K11-K12)*AA16+(AA26*K10)+(AB20-AB19)*AA19+(AB21-AB20)*AA20+(AB22-AB21)*AA21+(AB23-AB22)*AA22+(K10-AB23)*AA23)+(AB29*(1+AA29)-AB29)+(K10-AB29)*(1+AA29)-(K10-AB29),0)</f>
        <v>0</v>
      </c>
      <c r="Y15" s="248"/>
      <c r="Z15" s="229"/>
      <c r="AA15" s="230" t="s">
        <v>2</v>
      </c>
      <c r="AB15" s="249"/>
      <c r="AC15" s="244"/>
    </row>
    <row r="16" spans="2:29" ht="18" customHeight="1" x14ac:dyDescent="0.4">
      <c r="B16" s="18" t="s">
        <v>534</v>
      </c>
      <c r="C16" s="301"/>
      <c r="F16" s="70" t="s">
        <v>540</v>
      </c>
      <c r="G16" s="355">
        <f>G25</f>
        <v>0</v>
      </c>
      <c r="H16" s="25"/>
      <c r="I16" s="25"/>
      <c r="J16" s="284"/>
      <c r="K16" s="287"/>
      <c r="L16" s="25"/>
      <c r="R16" s="219"/>
      <c r="S16" s="218"/>
      <c r="T16" s="219"/>
      <c r="U16" s="219"/>
      <c r="V16" s="219"/>
      <c r="W16" s="220"/>
      <c r="X16" s="219"/>
      <c r="Y16" s="219"/>
      <c r="Z16" s="236" t="s">
        <v>7</v>
      </c>
      <c r="AA16" s="237">
        <v>0.22</v>
      </c>
      <c r="AB16" s="250"/>
      <c r="AC16" s="224"/>
    </row>
    <row r="17" spans="2:29" ht="18" customHeight="1" x14ac:dyDescent="0.45">
      <c r="B17" s="17"/>
      <c r="C17" s="351"/>
      <c r="H17" s="25"/>
      <c r="I17" s="25"/>
      <c r="J17" s="277" t="s">
        <v>54</v>
      </c>
      <c r="K17" s="288"/>
      <c r="L17" s="25"/>
      <c r="M17" s="133"/>
      <c r="N17" s="133"/>
      <c r="O17" s="134"/>
      <c r="P17" s="133"/>
      <c r="R17" s="219"/>
      <c r="S17" s="218"/>
      <c r="T17" s="219"/>
      <c r="U17" s="219"/>
      <c r="V17" s="219"/>
      <c r="W17" s="220"/>
      <c r="X17" s="219"/>
      <c r="Y17" s="219"/>
      <c r="Z17" s="221"/>
      <c r="AA17" s="224"/>
      <c r="AB17" s="224"/>
      <c r="AC17" s="224"/>
    </row>
    <row r="18" spans="2:29" ht="17.25" customHeight="1" x14ac:dyDescent="0.5">
      <c r="B18" s="347" t="s">
        <v>40</v>
      </c>
      <c r="C18" s="345"/>
      <c r="F18" s="374" t="str">
        <f>VLOOKUP(G11,'Diagram marginalskatt'!$A$24:$C$29,3,FALSE)</f>
        <v>Skatteoptimalt uttak i valgt sone er inntil 980 100 kr i lønn, deretter utbytte.</v>
      </c>
      <c r="G18" s="374"/>
      <c r="J18" s="278" t="s">
        <v>5</v>
      </c>
      <c r="K18" s="279">
        <f>IF(K10&lt;AB19,0,IF(AND(K10&gt;=AB19,K10&lt;=AB20),K10-AB19,IF(K10&gt;AB20,AB20-AB19,0)))*AA19</f>
        <v>0</v>
      </c>
      <c r="M18" s="133"/>
      <c r="N18" s="87" t="s">
        <v>65</v>
      </c>
      <c r="O18" s="134"/>
      <c r="P18" s="133"/>
      <c r="R18" s="219"/>
      <c r="S18" s="218"/>
      <c r="T18" s="219"/>
      <c r="U18" s="219"/>
      <c r="V18" s="219"/>
      <c r="W18" s="220"/>
      <c r="X18" s="219"/>
      <c r="Y18" s="219"/>
      <c r="Z18" s="229"/>
      <c r="AA18" s="230" t="s">
        <v>2</v>
      </c>
      <c r="AB18" s="231" t="s">
        <v>6</v>
      </c>
      <c r="AC18" s="224"/>
    </row>
    <row r="19" spans="2:29" ht="16.5" customHeight="1" x14ac:dyDescent="0.4">
      <c r="B19" s="17" t="s">
        <v>41</v>
      </c>
      <c r="C19" s="206">
        <f>G21</f>
        <v>0</v>
      </c>
      <c r="J19" s="278" t="s">
        <v>8</v>
      </c>
      <c r="K19" s="279">
        <f>IF(K10&lt;AB20,0,IF(AND(K10&gt;AB20,K10&lt;=AB21),K10-AB20,IF(K10&gt;AB21,AB21-AB20,0)))*AA20</f>
        <v>0</v>
      </c>
      <c r="M19" s="133"/>
      <c r="N19" s="133"/>
      <c r="O19" s="134"/>
      <c r="P19" s="133"/>
      <c r="R19" s="219"/>
      <c r="S19" s="218"/>
      <c r="T19" s="219"/>
      <c r="U19" s="219"/>
      <c r="V19" s="219"/>
      <c r="W19" s="220"/>
      <c r="X19" s="219"/>
      <c r="Y19" s="219"/>
      <c r="Z19" s="251" t="s">
        <v>5</v>
      </c>
      <c r="AA19" s="252">
        <v>1.7000000000000001E-2</v>
      </c>
      <c r="AB19" s="253">
        <v>226100</v>
      </c>
      <c r="AC19" s="224"/>
    </row>
    <row r="20" spans="2:29" ht="19" thickBot="1" x14ac:dyDescent="0.5">
      <c r="B20" s="17" t="s">
        <v>61</v>
      </c>
      <c r="C20" s="73">
        <f>K27</f>
        <v>0</v>
      </c>
      <c r="F20" s="302" t="s">
        <v>40</v>
      </c>
      <c r="G20" s="102"/>
      <c r="J20" s="278" t="s">
        <v>9</v>
      </c>
      <c r="K20" s="279">
        <f>IF($K$10&lt;AB21,0,IF(AND($K$10&gt;AB21,$K$10&lt;=AB22),$K$10-AB21,IF($K$10&gt;AB22,AB22-AB21,0)))*AA21</f>
        <v>0</v>
      </c>
      <c r="M20" s="133"/>
      <c r="N20" s="88" t="s">
        <v>67</v>
      </c>
      <c r="O20" s="136"/>
      <c r="P20" s="133"/>
      <c r="R20" s="219"/>
      <c r="S20" s="218"/>
      <c r="T20" s="219"/>
      <c r="U20" s="219"/>
      <c r="V20" s="219"/>
      <c r="W20" s="220"/>
      <c r="X20" s="219"/>
      <c r="Y20" s="219"/>
      <c r="Z20" s="251" t="s">
        <v>8</v>
      </c>
      <c r="AA20" s="252">
        <v>0.04</v>
      </c>
      <c r="AB20" s="253">
        <v>318300</v>
      </c>
      <c r="AC20" s="224"/>
    </row>
    <row r="21" spans="2:29" ht="16.5" thickBot="1" x14ac:dyDescent="0.45">
      <c r="F21" s="17" t="s">
        <v>550</v>
      </c>
      <c r="G21" s="349"/>
      <c r="J21" s="278" t="s">
        <v>10</v>
      </c>
      <c r="K21" s="279">
        <f>IF($K$10&lt;AB22,0,IF(AND($K$10&gt;AB22,$K$10&lt;=AB23),$K$10-AB22,IF($K$10&gt;AB23,AB23-AB22,0)))*AA22</f>
        <v>0</v>
      </c>
      <c r="M21" s="133"/>
      <c r="N21" s="89" t="s">
        <v>66</v>
      </c>
      <c r="O21" s="360">
        <f>C27-K35</f>
        <v>0</v>
      </c>
      <c r="P21" s="133"/>
      <c r="R21" s="219"/>
      <c r="S21" s="218"/>
      <c r="T21" s="219"/>
      <c r="U21" s="219"/>
      <c r="V21" s="219"/>
      <c r="W21" s="220"/>
      <c r="X21" s="219"/>
      <c r="Y21" s="219"/>
      <c r="Z21" s="251" t="s">
        <v>9</v>
      </c>
      <c r="AA21" s="252">
        <v>0.13700000000000001</v>
      </c>
      <c r="AB21" s="253">
        <v>725050</v>
      </c>
      <c r="AC21" s="224"/>
    </row>
    <row r="22" spans="2:29" ht="16" x14ac:dyDescent="0.4">
      <c r="B22" s="19" t="s">
        <v>39</v>
      </c>
      <c r="C22" s="207">
        <f>C10-SUM(C12:C16)-C19-C20</f>
        <v>0</v>
      </c>
      <c r="J22" s="280" t="s">
        <v>11</v>
      </c>
      <c r="K22" s="281">
        <f>IF(K10&lt;AB23,0,(K10-AB23))*AA23</f>
        <v>0</v>
      </c>
      <c r="M22" s="133"/>
      <c r="N22" s="90" t="s">
        <v>40</v>
      </c>
      <c r="O22" s="361">
        <f>G21-K25-K26</f>
        <v>0</v>
      </c>
      <c r="P22" s="133"/>
      <c r="R22" s="219"/>
      <c r="S22" s="218"/>
      <c r="T22" s="219"/>
      <c r="U22" s="219"/>
      <c r="V22" s="219"/>
      <c r="W22" s="220"/>
      <c r="X22" s="219"/>
      <c r="Y22" s="219"/>
      <c r="Z22" s="251" t="s">
        <v>10</v>
      </c>
      <c r="AA22" s="252">
        <v>0.16800000000000001</v>
      </c>
      <c r="AB22" s="253">
        <v>980100</v>
      </c>
      <c r="AC22" s="224"/>
    </row>
    <row r="23" spans="2:29" ht="17" customHeight="1" thickBot="1" x14ac:dyDescent="0.45">
      <c r="B23" s="17"/>
      <c r="C23" s="67"/>
      <c r="F23" s="29"/>
      <c r="G23" s="30"/>
      <c r="H23" s="102"/>
      <c r="I23" s="297" t="s">
        <v>508</v>
      </c>
      <c r="J23" s="282" t="s">
        <v>53</v>
      </c>
      <c r="K23" s="283">
        <f>SUM(K18:K22)</f>
        <v>0</v>
      </c>
      <c r="M23" s="133"/>
      <c r="N23" s="91" t="s">
        <v>557</v>
      </c>
      <c r="O23" s="92">
        <f>O21+O22</f>
        <v>0</v>
      </c>
      <c r="P23" s="133"/>
      <c r="R23" s="219"/>
      <c r="S23" s="218"/>
      <c r="T23" s="219"/>
      <c r="U23" s="219"/>
      <c r="V23" s="219"/>
      <c r="W23" s="220"/>
      <c r="X23" s="219"/>
      <c r="Y23" s="219"/>
      <c r="Z23" s="236" t="s">
        <v>11</v>
      </c>
      <c r="AA23" s="254">
        <v>0.17799999999999999</v>
      </c>
      <c r="AB23" s="238">
        <v>1467200</v>
      </c>
      <c r="AC23" s="224"/>
    </row>
    <row r="24" spans="2:29" ht="18.5" x14ac:dyDescent="0.45">
      <c r="B24" s="17" t="s">
        <v>536</v>
      </c>
      <c r="C24" s="300"/>
      <c r="F24" s="145" t="s">
        <v>42</v>
      </c>
      <c r="G24" s="146"/>
      <c r="H24" s="102"/>
      <c r="J24" s="284"/>
      <c r="K24" s="287"/>
      <c r="M24" s="133"/>
      <c r="N24" s="133"/>
      <c r="O24" s="134"/>
      <c r="P24" s="133"/>
      <c r="R24" s="219"/>
      <c r="S24" s="218"/>
      <c r="T24" s="219"/>
      <c r="U24" s="219"/>
      <c r="V24" s="219"/>
      <c r="W24" s="220"/>
      <c r="X24" s="219"/>
      <c r="Y24" s="219"/>
      <c r="Z24" s="221"/>
      <c r="AA24" s="224"/>
      <c r="AB24" s="224"/>
      <c r="AC24" s="224"/>
    </row>
    <row r="25" spans="2:29" ht="16.5" thickBot="1" x14ac:dyDescent="0.45">
      <c r="B25" s="17" t="s">
        <v>537</v>
      </c>
      <c r="C25" s="300"/>
      <c r="F25" s="40" t="s">
        <v>49</v>
      </c>
      <c r="G25" s="350">
        <f>C27</f>
        <v>0</v>
      </c>
      <c r="H25" s="102"/>
      <c r="I25" s="32"/>
      <c r="J25" s="278" t="s">
        <v>552</v>
      </c>
      <c r="K25" s="289">
        <f>K15+K23</f>
        <v>0</v>
      </c>
      <c r="L25" s="32"/>
      <c r="R25" s="219"/>
      <c r="S25" s="218"/>
      <c r="T25" s="219"/>
      <c r="U25" s="219"/>
      <c r="V25" s="219"/>
      <c r="W25" s="220"/>
      <c r="X25" s="219"/>
      <c r="Y25" s="219"/>
      <c r="Z25" s="229"/>
      <c r="AA25" s="230" t="s">
        <v>13</v>
      </c>
      <c r="AB25" s="231" t="s">
        <v>14</v>
      </c>
      <c r="AC25" s="224"/>
    </row>
    <row r="26" spans="2:29" ht="16" x14ac:dyDescent="0.4">
      <c r="B26" s="17"/>
      <c r="C26" s="351"/>
      <c r="H26" s="102"/>
      <c r="I26" s="297" t="s">
        <v>509</v>
      </c>
      <c r="J26" s="278" t="s">
        <v>12</v>
      </c>
      <c r="K26" s="279">
        <f>IF(K10&lt;AB26,0,IF((K10-AB26)*0.25&lt;(K10*AA26),(K10-AB26)*0.25,K10*AA26))</f>
        <v>0</v>
      </c>
      <c r="R26" s="219"/>
      <c r="S26" s="218"/>
      <c r="T26" s="219"/>
      <c r="U26" s="219"/>
      <c r="V26" s="219"/>
      <c r="W26" s="220"/>
      <c r="X26" s="219"/>
      <c r="Y26" s="219"/>
      <c r="Z26" s="236" t="s">
        <v>12</v>
      </c>
      <c r="AA26" s="254">
        <v>7.5999999999999998E-2</v>
      </c>
      <c r="AB26" s="238">
        <v>99650</v>
      </c>
      <c r="AC26" s="224"/>
    </row>
    <row r="27" spans="2:29" ht="16" customHeight="1" x14ac:dyDescent="0.4">
      <c r="B27" s="348" t="s">
        <v>42</v>
      </c>
      <c r="C27" s="352">
        <f>C22+(C24-C25)</f>
        <v>0</v>
      </c>
      <c r="H27" s="208"/>
      <c r="I27" s="298" t="s">
        <v>511</v>
      </c>
      <c r="J27" s="362" t="s">
        <v>46</v>
      </c>
      <c r="K27" s="281">
        <f>G21*(1+AA29)-G21</f>
        <v>0</v>
      </c>
      <c r="R27" s="219"/>
      <c r="S27" s="218"/>
      <c r="T27" s="219"/>
      <c r="U27" s="219"/>
      <c r="V27" s="219"/>
      <c r="W27" s="220"/>
      <c r="X27" s="219"/>
      <c r="Y27" s="219"/>
      <c r="Z27" s="221"/>
      <c r="AA27" s="224"/>
      <c r="AB27" s="224"/>
      <c r="AC27" s="224"/>
    </row>
    <row r="28" spans="2:29" ht="16.5" thickBot="1" x14ac:dyDescent="0.45">
      <c r="C28" s="68"/>
      <c r="H28" s="102"/>
      <c r="I28" s="34"/>
      <c r="J28" s="282" t="s">
        <v>55</v>
      </c>
      <c r="K28" s="283">
        <f>SUM(K25:K27)</f>
        <v>0</v>
      </c>
      <c r="L28" s="34"/>
      <c r="R28" s="219"/>
      <c r="S28" s="218"/>
      <c r="T28" s="219"/>
      <c r="U28" s="219"/>
      <c r="V28" s="219"/>
      <c r="W28" s="220"/>
      <c r="X28" s="219"/>
      <c r="Y28" s="219"/>
      <c r="Z28" s="229"/>
      <c r="AA28" s="230" t="s">
        <v>2</v>
      </c>
      <c r="AB28" s="231" t="s">
        <v>6</v>
      </c>
      <c r="AC28" s="224"/>
    </row>
    <row r="29" spans="2:29" ht="16" x14ac:dyDescent="0.4">
      <c r="B29" s="17"/>
      <c r="C29" s="69"/>
      <c r="H29" s="102"/>
      <c r="I29" s="34"/>
      <c r="J29" s="284"/>
      <c r="K29" s="287"/>
      <c r="L29" s="34"/>
      <c r="R29" s="219"/>
      <c r="S29" s="218"/>
      <c r="T29" s="219"/>
      <c r="U29" s="219"/>
      <c r="V29" s="219"/>
      <c r="W29" s="220"/>
      <c r="X29" s="219"/>
      <c r="Y29" s="219"/>
      <c r="Z29" s="255" t="s">
        <v>15</v>
      </c>
      <c r="AA29" s="254" cm="1">
        <f t="array" ref="AA29">INDEX('Diagram marginalskatt'!B31:B36,MATCH('Lønn eller utbytte'!G11,'Diagram marginalskatt'!A31:A36,0),)</f>
        <v>0.14099999999999999</v>
      </c>
      <c r="AB29" s="250">
        <v>1</v>
      </c>
      <c r="AC29" s="224"/>
    </row>
    <row r="30" spans="2:29" ht="16" x14ac:dyDescent="0.4">
      <c r="B30" s="17"/>
      <c r="C30" s="69"/>
      <c r="H30" s="209"/>
      <c r="I30" s="34"/>
      <c r="J30" s="284"/>
      <c r="K30" s="292"/>
      <c r="L30" s="34"/>
      <c r="R30" s="219"/>
      <c r="S30" s="218"/>
      <c r="T30" s="219"/>
      <c r="U30" s="219"/>
      <c r="V30" s="219"/>
      <c r="W30" s="220"/>
      <c r="X30" s="219"/>
      <c r="Y30" s="219"/>
      <c r="Z30" s="256"/>
      <c r="AA30" s="252"/>
      <c r="AB30" s="244"/>
      <c r="AC30" s="224"/>
    </row>
    <row r="31" spans="2:29" ht="18.5" x14ac:dyDescent="0.45">
      <c r="H31" s="209"/>
      <c r="I31" s="34"/>
      <c r="J31" s="277" t="s">
        <v>63</v>
      </c>
      <c r="K31" s="288"/>
      <c r="L31" s="34"/>
      <c r="R31" s="219"/>
      <c r="S31" s="218"/>
      <c r="T31" s="219"/>
      <c r="U31" s="219"/>
      <c r="V31" s="219"/>
      <c r="W31" s="220"/>
      <c r="X31" s="219"/>
      <c r="Y31" s="219"/>
      <c r="Z31" s="229"/>
      <c r="AA31" s="257"/>
      <c r="AB31" s="231" t="s">
        <v>14</v>
      </c>
      <c r="AC31" s="224"/>
    </row>
    <row r="32" spans="2:29" ht="16.5" customHeight="1" x14ac:dyDescent="0.4">
      <c r="H32" s="209"/>
      <c r="I32" s="34"/>
      <c r="J32" s="278" t="s">
        <v>98</v>
      </c>
      <c r="K32" s="289">
        <f>G16</f>
        <v>0</v>
      </c>
      <c r="L32" s="34"/>
      <c r="R32" s="219"/>
      <c r="S32" s="218"/>
      <c r="T32" s="219"/>
      <c r="U32" s="219"/>
      <c r="V32" s="219"/>
      <c r="W32" s="220"/>
      <c r="X32" s="219"/>
      <c r="Y32" s="219"/>
      <c r="Z32" s="236" t="s">
        <v>18</v>
      </c>
      <c r="AA32" s="258"/>
      <c r="AB32" s="238">
        <v>147450</v>
      </c>
      <c r="AC32" s="224"/>
    </row>
    <row r="33" spans="8:29" ht="16.5" customHeight="1" x14ac:dyDescent="0.4">
      <c r="H33" s="209"/>
      <c r="I33" s="299" t="s">
        <v>512</v>
      </c>
      <c r="J33" s="293" t="s">
        <v>43</v>
      </c>
      <c r="K33" s="289">
        <f>K32*0.22</f>
        <v>0</v>
      </c>
      <c r="L33" s="34"/>
      <c r="R33" s="219"/>
      <c r="S33" s="218"/>
      <c r="T33" s="219"/>
      <c r="U33" s="219"/>
      <c r="V33" s="219"/>
      <c r="W33" s="220"/>
      <c r="X33" s="219"/>
      <c r="Y33" s="219"/>
      <c r="Z33" s="221"/>
      <c r="AA33" s="224"/>
      <c r="AB33" s="224"/>
      <c r="AC33" s="224"/>
    </row>
    <row r="34" spans="8:29" ht="16.5" customHeight="1" x14ac:dyDescent="0.4">
      <c r="H34" s="209"/>
      <c r="I34" s="297" t="s">
        <v>510</v>
      </c>
      <c r="J34" s="293" t="s">
        <v>19</v>
      </c>
      <c r="K34" s="289">
        <f>(K32-K33)*0.3784</f>
        <v>0</v>
      </c>
      <c r="P34" s="23"/>
      <c r="R34" s="219"/>
      <c r="S34" s="218"/>
      <c r="T34" s="219"/>
      <c r="U34" s="219"/>
      <c r="V34" s="219"/>
      <c r="W34" s="220"/>
      <c r="X34" s="219"/>
      <c r="Y34" s="219"/>
      <c r="Z34" s="229"/>
      <c r="AA34" s="230" t="s">
        <v>2</v>
      </c>
      <c r="AB34" s="231" t="s">
        <v>6</v>
      </c>
      <c r="AC34" s="224"/>
    </row>
    <row r="35" spans="8:29" ht="16" customHeight="1" thickBot="1" x14ac:dyDescent="0.45">
      <c r="H35" s="209"/>
      <c r="I35" s="34"/>
      <c r="J35" s="290" t="s">
        <v>60</v>
      </c>
      <c r="K35" s="291">
        <f>K33+K34</f>
        <v>0</v>
      </c>
      <c r="L35" s="34"/>
      <c r="O35" s="34"/>
      <c r="R35" s="219"/>
      <c r="S35" s="218"/>
      <c r="T35" s="219"/>
      <c r="U35" s="219"/>
      <c r="V35" s="219"/>
      <c r="W35" s="220"/>
      <c r="X35" s="219"/>
      <c r="Y35" s="219"/>
      <c r="Z35" s="236" t="s">
        <v>17</v>
      </c>
      <c r="AA35" s="259">
        <v>0.51519999999999999</v>
      </c>
      <c r="AB35" s="250">
        <v>1</v>
      </c>
      <c r="AC35" s="224"/>
    </row>
    <row r="36" spans="8:29" ht="16.5" customHeight="1" x14ac:dyDescent="0.35">
      <c r="H36" s="102"/>
      <c r="N36" s="114"/>
      <c r="R36" s="219"/>
      <c r="S36" s="218"/>
      <c r="T36" s="219"/>
      <c r="U36" s="219"/>
      <c r="V36" s="219"/>
      <c r="W36" s="220"/>
      <c r="X36" s="219"/>
      <c r="Y36" s="219"/>
      <c r="Z36" s="221"/>
      <c r="AA36" s="221"/>
      <c r="AB36" s="221"/>
      <c r="AC36" s="224"/>
    </row>
    <row r="37" spans="8:29" ht="16.5" customHeight="1" x14ac:dyDescent="0.35">
      <c r="H37" s="209"/>
      <c r="I37" s="36"/>
      <c r="L37" s="36"/>
      <c r="M37" s="36"/>
      <c r="N37" s="127"/>
      <c r="O37" s="36"/>
      <c r="R37" s="219"/>
      <c r="S37" s="218"/>
      <c r="T37" s="219"/>
      <c r="U37" s="219"/>
      <c r="V37" s="219"/>
      <c r="W37" s="220"/>
      <c r="X37" s="219"/>
      <c r="Y37" s="219"/>
      <c r="Z37" s="221"/>
      <c r="AA37" s="221"/>
      <c r="AB37" s="221"/>
      <c r="AC37" s="224"/>
    </row>
    <row r="38" spans="8:29" ht="16.5" customHeight="1" x14ac:dyDescent="0.35">
      <c r="H38" s="102"/>
      <c r="I38" s="37"/>
      <c r="L38" s="37"/>
      <c r="M38" s="37"/>
      <c r="N38" s="25"/>
      <c r="O38" s="37"/>
      <c r="AC38" s="102"/>
    </row>
    <row r="39" spans="8:29" x14ac:dyDescent="0.35">
      <c r="H39" s="211"/>
      <c r="I39" s="37"/>
      <c r="L39" s="37"/>
      <c r="M39" s="37"/>
      <c r="N39" s="214"/>
      <c r="O39" s="37"/>
      <c r="AC39" s="102"/>
    </row>
    <row r="40" spans="8:29" ht="17.25" customHeight="1" x14ac:dyDescent="0.35">
      <c r="H40" s="212"/>
      <c r="I40" s="36"/>
      <c r="L40" s="36"/>
      <c r="M40" s="36"/>
      <c r="N40" s="36"/>
      <c r="O40" s="36"/>
      <c r="AA40" s="102"/>
      <c r="AB40" s="102"/>
      <c r="AC40" s="102"/>
    </row>
    <row r="41" spans="8:29" ht="17.25" customHeight="1" x14ac:dyDescent="0.35">
      <c r="H41" s="212"/>
      <c r="I41" s="37"/>
      <c r="K41" s="34"/>
      <c r="L41" s="37"/>
      <c r="M41" s="37"/>
      <c r="N41" s="37"/>
      <c r="O41" s="37"/>
      <c r="V41" s="126"/>
      <c r="W41" s="126"/>
      <c r="Y41" s="126"/>
    </row>
    <row r="42" spans="8:29" ht="17.25" customHeight="1" x14ac:dyDescent="0.35">
      <c r="H42" s="211"/>
      <c r="I42" s="36"/>
      <c r="K42" s="215"/>
      <c r="L42" s="36"/>
      <c r="M42" s="36"/>
      <c r="N42" s="36"/>
      <c r="O42" s="36"/>
      <c r="V42" s="126"/>
      <c r="W42" s="126"/>
      <c r="Y42" s="126"/>
    </row>
    <row r="43" spans="8:29" ht="16.5" customHeight="1" x14ac:dyDescent="0.35">
      <c r="H43" s="212"/>
      <c r="U43" s="126"/>
      <c r="V43" s="126"/>
      <c r="W43" s="126"/>
      <c r="Y43" s="126"/>
    </row>
    <row r="44" spans="8:29" x14ac:dyDescent="0.35">
      <c r="H44" s="211"/>
      <c r="I44" s="34"/>
      <c r="J44" s="34"/>
      <c r="K44" s="34"/>
      <c r="L44" s="34"/>
      <c r="M44" s="34"/>
      <c r="N44" s="34"/>
      <c r="O44" s="34"/>
    </row>
    <row r="45" spans="8:29" x14ac:dyDescent="0.35">
      <c r="H45" s="102"/>
      <c r="I45" s="25"/>
      <c r="J45" s="25"/>
      <c r="K45" s="25"/>
      <c r="L45" s="25"/>
      <c r="M45" s="25"/>
      <c r="N45" s="25"/>
      <c r="O45" s="25"/>
    </row>
    <row r="46" spans="8:29" x14ac:dyDescent="0.35">
      <c r="H46" s="209"/>
      <c r="I46" s="25"/>
      <c r="J46" s="25"/>
      <c r="K46" s="25"/>
      <c r="L46" s="25"/>
      <c r="M46" s="25"/>
      <c r="N46" s="25"/>
      <c r="O46" s="25"/>
    </row>
    <row r="47" spans="8:29" x14ac:dyDescent="0.35">
      <c r="H47" s="114"/>
    </row>
    <row r="48" spans="8:29" x14ac:dyDescent="0.35">
      <c r="H48" s="114"/>
    </row>
    <row r="49" spans="6:15" x14ac:dyDescent="0.35">
      <c r="H49" s="102"/>
    </row>
    <row r="50" spans="6:15" x14ac:dyDescent="0.35">
      <c r="H50" s="102"/>
    </row>
    <row r="51" spans="6:15" ht="15.65" customHeight="1" x14ac:dyDescent="0.35">
      <c r="H51" s="102"/>
      <c r="I51" s="25"/>
      <c r="J51" s="25"/>
      <c r="K51" s="25"/>
      <c r="L51" s="25"/>
      <c r="M51" s="25"/>
      <c r="N51" s="25"/>
      <c r="O51" s="25"/>
    </row>
    <row r="52" spans="6:15" ht="15.65" customHeight="1" x14ac:dyDescent="0.35">
      <c r="F52" s="96"/>
      <c r="G52" s="102"/>
      <c r="H52" s="102"/>
    </row>
    <row r="54" spans="6:15" ht="19" customHeight="1" x14ac:dyDescent="0.35"/>
    <row r="55" spans="6:15" ht="19" customHeight="1" x14ac:dyDescent="0.35"/>
    <row r="67" spans="7:8" x14ac:dyDescent="0.35">
      <c r="G67" s="94"/>
      <c r="H67" s="21"/>
    </row>
    <row r="68" spans="7:8" x14ac:dyDescent="0.35">
      <c r="G68" s="94"/>
      <c r="H68" s="21"/>
    </row>
    <row r="82" spans="6:7" x14ac:dyDescent="0.35">
      <c r="F82" s="150"/>
      <c r="G82" s="152"/>
    </row>
    <row r="83" spans="6:7" x14ac:dyDescent="0.35">
      <c r="G83" s="25"/>
    </row>
  </sheetData>
  <sheetProtection algorithmName="SHA-512" hashValue="F2zubbbLmtQbYJKWoIOHenFa1KqNLF+hO1hyQxABDfG25qjpyepLQjUXpGr8VTJcvA8RTpc3IYEAKJPWD+Zw3A==" saltValue="vyWexzfrirfks3HYzLpLYQ==" spinCount="100000" sheet="1" formatColumns="0" formatRows="0" insertRows="0" selectLockedCells="1"/>
  <mergeCells count="2">
    <mergeCell ref="F18:G18"/>
    <mergeCell ref="B5:G5"/>
  </mergeCells>
  <phoneticPr fontId="3" type="noConversion"/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1B4B77F-3907-4E81-BE23-0A85261B76FE}">
          <x14:formula1>
            <xm:f>'Diagram marginalskatt'!$A$24:$A$29</xm:f>
          </x14:formula1>
          <xm:sqref>G11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6E447-4502-4A35-85A4-12DE6D502535}">
  <dimension ref="B2:P80"/>
  <sheetViews>
    <sheetView showGridLines="0" topLeftCell="A20" zoomScale="90" zoomScaleNormal="90" workbookViewId="0">
      <selection activeCell="D12" sqref="D12"/>
    </sheetView>
  </sheetViews>
  <sheetFormatPr baseColWidth="10" defaultColWidth="11.453125" defaultRowHeight="14.5" x14ac:dyDescent="0.35"/>
  <cols>
    <col min="1" max="1" width="11.453125" style="21"/>
    <col min="2" max="2" width="3.7265625" style="23" customWidth="1"/>
    <col min="3" max="3" width="58.453125" style="21" customWidth="1"/>
    <col min="4" max="4" width="19.1796875" style="21" customWidth="1"/>
    <col min="5" max="5" width="16.26953125" style="21" customWidth="1"/>
    <col min="6" max="6" width="5.453125" style="21" customWidth="1"/>
    <col min="7" max="7" width="46.7265625" style="21" customWidth="1"/>
    <col min="8" max="8" width="17" style="21" customWidth="1"/>
    <col min="9" max="9" width="19.26953125" style="21" customWidth="1"/>
    <col min="10" max="10" width="4.7265625" style="21" customWidth="1"/>
    <col min="11" max="11" width="76.7265625" style="21" customWidth="1"/>
    <col min="12" max="12" width="15.453125" style="21" customWidth="1"/>
    <col min="13" max="16384" width="11.453125" style="21"/>
  </cols>
  <sheetData>
    <row r="2" spans="3:12" ht="31" x14ac:dyDescent="0.7">
      <c r="C2" s="65" t="s">
        <v>76</v>
      </c>
    </row>
    <row r="3" spans="3:12" ht="16" x14ac:dyDescent="0.4">
      <c r="C3" s="264" t="s">
        <v>104</v>
      </c>
    </row>
    <row r="4" spans="3:12" ht="16" x14ac:dyDescent="0.4">
      <c r="C4" s="77"/>
    </row>
    <row r="6" spans="3:12" ht="18.5" x14ac:dyDescent="0.45">
      <c r="C6" s="173"/>
    </row>
    <row r="7" spans="3:12" ht="18.5" x14ac:dyDescent="0.45">
      <c r="C7" s="145" t="s">
        <v>42</v>
      </c>
      <c r="D7" s="23"/>
      <c r="E7" s="23"/>
      <c r="F7" s="23"/>
      <c r="G7" s="23"/>
      <c r="L7" s="94"/>
    </row>
    <row r="8" spans="3:12" ht="20.5" customHeight="1" x14ac:dyDescent="0.35">
      <c r="C8" s="40" t="s">
        <v>516</v>
      </c>
      <c r="D8" s="303">
        <f>'Lønn eller utbytte'!O23+'Lønn eller utbytte'!O14</f>
        <v>0</v>
      </c>
      <c r="E8" s="266"/>
      <c r="F8" s="23"/>
      <c r="G8" s="23"/>
      <c r="I8" s="107"/>
      <c r="L8" s="94"/>
    </row>
    <row r="9" spans="3:12" ht="16" x14ac:dyDescent="0.4">
      <c r="D9" s="25"/>
      <c r="E9" s="114"/>
      <c r="F9" s="23"/>
      <c r="G9" s="23"/>
      <c r="K9" s="70" t="s">
        <v>559</v>
      </c>
      <c r="L9" s="94"/>
    </row>
    <row r="10" spans="3:12" ht="18.5" x14ac:dyDescent="0.45">
      <c r="C10" s="147" t="s">
        <v>75</v>
      </c>
      <c r="D10" s="148"/>
      <c r="E10" s="102"/>
      <c r="F10" s="23"/>
      <c r="G10" s="23"/>
      <c r="I10" s="107"/>
      <c r="K10" s="70" t="s">
        <v>560</v>
      </c>
      <c r="L10" s="94"/>
    </row>
    <row r="11" spans="3:12" ht="18.649999999999999" customHeight="1" x14ac:dyDescent="0.4">
      <c r="C11" s="17" t="s">
        <v>517</v>
      </c>
      <c r="D11" s="304">
        <v>0</v>
      </c>
      <c r="E11" s="267"/>
      <c r="F11" s="23"/>
      <c r="G11" s="23"/>
      <c r="K11" s="70" t="s">
        <v>541</v>
      </c>
      <c r="L11" s="94"/>
    </row>
    <row r="12" spans="3:12" x14ac:dyDescent="0.35">
      <c r="D12" s="143"/>
      <c r="E12" s="143"/>
      <c r="F12" s="23"/>
      <c r="G12" s="23"/>
      <c r="L12" s="94"/>
    </row>
    <row r="13" spans="3:12" x14ac:dyDescent="0.35">
      <c r="D13" s="143"/>
      <c r="E13" s="143"/>
      <c r="F13" s="23"/>
      <c r="G13" s="23"/>
      <c r="L13" s="94"/>
    </row>
    <row r="14" spans="3:12" x14ac:dyDescent="0.35">
      <c r="D14" s="143"/>
      <c r="E14" s="143"/>
      <c r="F14" s="23"/>
      <c r="G14" s="23"/>
      <c r="L14" s="94"/>
    </row>
    <row r="15" spans="3:12" ht="18.5" x14ac:dyDescent="0.45">
      <c r="C15" s="311" t="s">
        <v>558</v>
      </c>
      <c r="D15" s="312"/>
      <c r="E15" s="32"/>
      <c r="F15" s="23"/>
      <c r="G15" s="318" t="s">
        <v>81</v>
      </c>
      <c r="H15" s="319"/>
      <c r="K15" s="318" t="s">
        <v>522</v>
      </c>
      <c r="L15" s="319"/>
    </row>
    <row r="16" spans="3:12" x14ac:dyDescent="0.35">
      <c r="C16" s="313"/>
      <c r="D16" s="314"/>
      <c r="E16" s="143"/>
      <c r="F16" s="23"/>
      <c r="G16" s="320"/>
      <c r="H16" s="313"/>
      <c r="K16" s="313"/>
      <c r="L16" s="313"/>
    </row>
    <row r="17" spans="3:13" ht="16" x14ac:dyDescent="0.4">
      <c r="C17" s="315" t="s">
        <v>79</v>
      </c>
      <c r="D17" s="316">
        <f>D18+D19</f>
        <v>257980.1</v>
      </c>
      <c r="E17" s="69"/>
      <c r="F17" s="23"/>
      <c r="G17" s="315" t="s">
        <v>518</v>
      </c>
      <c r="H17" s="321">
        <f>H19+H18</f>
        <v>0</v>
      </c>
      <c r="I17" s="169"/>
      <c r="K17" s="326" t="s">
        <v>42</v>
      </c>
      <c r="L17" s="327">
        <f>D8</f>
        <v>0</v>
      </c>
    </row>
    <row r="18" spans="3:13" ht="16" x14ac:dyDescent="0.4">
      <c r="C18" s="315" t="s">
        <v>103</v>
      </c>
      <c r="D18" s="316">
        <v>226100</v>
      </c>
      <c r="E18" s="69"/>
      <c r="F18" s="305" t="s">
        <v>507</v>
      </c>
      <c r="G18" s="167" t="s">
        <v>519</v>
      </c>
      <c r="H18" s="169">
        <f>(D11/0.78)-D11</f>
        <v>0</v>
      </c>
      <c r="I18" s="73"/>
      <c r="J18" s="306" t="s">
        <v>509</v>
      </c>
      <c r="K18" s="315" t="s">
        <v>525</v>
      </c>
      <c r="L18" s="322">
        <f>D8-H18-H19</f>
        <v>0</v>
      </c>
    </row>
    <row r="19" spans="3:13" ht="16" x14ac:dyDescent="0.4">
      <c r="C19" s="167" t="s">
        <v>46</v>
      </c>
      <c r="D19" s="170">
        <f>Kopi!D38</f>
        <v>31880.100000000006</v>
      </c>
      <c r="E19" s="170"/>
      <c r="F19" s="305" t="s">
        <v>508</v>
      </c>
      <c r="G19" s="315" t="s">
        <v>77</v>
      </c>
      <c r="H19" s="322">
        <f>D11</f>
        <v>0</v>
      </c>
      <c r="I19" s="17"/>
      <c r="K19" s="313"/>
      <c r="L19" s="323"/>
    </row>
    <row r="20" spans="3:13" ht="16" x14ac:dyDescent="0.4">
      <c r="C20" s="168" t="s">
        <v>78</v>
      </c>
      <c r="D20" s="171">
        <f>Kopi!D37+Kopi!D36</f>
        <v>23178.6</v>
      </c>
      <c r="E20" s="171"/>
      <c r="F20" s="23"/>
      <c r="J20" s="325" t="s">
        <v>510</v>
      </c>
      <c r="K20" s="294" t="s">
        <v>524</v>
      </c>
      <c r="L20" s="324">
        <f>L18-L21</f>
        <v>0</v>
      </c>
    </row>
    <row r="21" spans="3:13" ht="16" x14ac:dyDescent="0.4">
      <c r="C21" s="17"/>
      <c r="D21" s="93"/>
      <c r="E21" s="93"/>
      <c r="F21" s="23"/>
      <c r="J21" s="307" t="s">
        <v>511</v>
      </c>
      <c r="K21" s="294" t="s">
        <v>526</v>
      </c>
      <c r="L21" s="295">
        <f>L18/(1+'Lønn eller utbytte'!AA29)</f>
        <v>0</v>
      </c>
    </row>
    <row r="22" spans="3:13" ht="16" x14ac:dyDescent="0.4">
      <c r="C22" s="294" t="s">
        <v>80</v>
      </c>
      <c r="D22" s="317">
        <f>D8-D18-D19</f>
        <v>-257980.1</v>
      </c>
      <c r="E22" s="178"/>
      <c r="F22" s="23"/>
      <c r="G22" s="23"/>
      <c r="J22" s="308" t="s">
        <v>512</v>
      </c>
      <c r="K22" s="294" t="s">
        <v>527</v>
      </c>
      <c r="L22" s="324">
        <f>L21-D18</f>
        <v>-226100</v>
      </c>
    </row>
    <row r="23" spans="3:13" x14ac:dyDescent="0.35">
      <c r="F23" s="142"/>
      <c r="G23" s="142"/>
      <c r="K23" s="313"/>
      <c r="L23" s="313"/>
    </row>
    <row r="24" spans="3:13" ht="16" x14ac:dyDescent="0.4">
      <c r="C24" s="70" t="str">
        <f>CONCATENATE("Hjelpeberegningen viser at selskapet må ha et overskudd på ",TEXT(D17, "# ##0")," ","kroner for å kunne")</f>
        <v>Hjelpeberegningen viser at selskapet må ha et overskudd på 257 980 kroner for å kunne</v>
      </c>
      <c r="F24" s="23"/>
      <c r="G24" s="309" t="s">
        <v>82</v>
      </c>
      <c r="K24" s="294" t="s">
        <v>523</v>
      </c>
      <c r="L24" s="313"/>
    </row>
    <row r="25" spans="3:13" ht="16" x14ac:dyDescent="0.4">
      <c r="C25" s="70" t="str">
        <f>_xlfn.CONCAT("betale ut ",TEXT(D18,"# ##0")," ","kroner i lønn. Dette vil redusere årsresultatet tilsvarende.")</f>
        <v>betale ut 226 100 kroner i lønn. Dette vil redusere årsresultatet tilsvarende.</v>
      </c>
      <c r="F25" s="25"/>
      <c r="G25" s="310" t="s">
        <v>85</v>
      </c>
      <c r="K25" s="294" t="s">
        <v>561</v>
      </c>
      <c r="L25" s="313"/>
    </row>
    <row r="26" spans="3:13" ht="16" x14ac:dyDescent="0.4">
      <c r="C26" s="70" t="s">
        <v>521</v>
      </c>
      <c r="D26" s="23"/>
      <c r="E26" s="23"/>
      <c r="F26" s="23"/>
      <c r="G26" s="172"/>
      <c r="K26" s="294" t="s">
        <v>95</v>
      </c>
      <c r="L26" s="313"/>
    </row>
    <row r="27" spans="3:13" x14ac:dyDescent="0.35">
      <c r="C27" s="153"/>
      <c r="D27" s="153"/>
      <c r="E27" s="153"/>
      <c r="F27" s="33"/>
      <c r="G27" s="33"/>
      <c r="H27" s="153"/>
      <c r="I27" s="153"/>
      <c r="J27" s="153"/>
      <c r="K27" s="153"/>
      <c r="L27" s="153"/>
      <c r="M27" s="153"/>
    </row>
    <row r="28" spans="3:13" x14ac:dyDescent="0.35">
      <c r="D28" s="23"/>
      <c r="E28" s="23"/>
      <c r="F28" s="23"/>
      <c r="G28" s="23"/>
    </row>
    <row r="29" spans="3:13" x14ac:dyDescent="0.35">
      <c r="D29" s="23"/>
      <c r="E29" s="23"/>
      <c r="F29" s="23"/>
      <c r="G29" s="23"/>
    </row>
    <row r="30" spans="3:13" ht="21" x14ac:dyDescent="0.5">
      <c r="C30" s="39" t="s">
        <v>94</v>
      </c>
      <c r="D30" s="23"/>
      <c r="E30" s="23"/>
      <c r="F30" s="23"/>
      <c r="G30" s="23"/>
    </row>
    <row r="31" spans="3:13" ht="16" x14ac:dyDescent="0.4">
      <c r="C31" s="70"/>
      <c r="D31" s="23"/>
      <c r="E31" s="23"/>
      <c r="F31" s="23"/>
      <c r="G31" s="23"/>
    </row>
    <row r="32" spans="3:13" x14ac:dyDescent="0.35">
      <c r="C32" s="21" t="s">
        <v>91</v>
      </c>
      <c r="D32" s="115">
        <f>IF(L21&lt;217400,L21,D18)</f>
        <v>0</v>
      </c>
      <c r="F32" s="107">
        <f>H19</f>
        <v>0</v>
      </c>
      <c r="G32" s="107">
        <f>IF(D49-D18&lt;0,0,D49-D18)</f>
        <v>0</v>
      </c>
      <c r="H32" s="107">
        <f>D58</f>
        <v>0</v>
      </c>
      <c r="I32" s="107"/>
    </row>
    <row r="33" spans="2:16" x14ac:dyDescent="0.35">
      <c r="C33" s="21" t="s">
        <v>562</v>
      </c>
      <c r="D33" s="115">
        <f>$D$32</f>
        <v>0</v>
      </c>
      <c r="F33" s="107">
        <f>F32</f>
        <v>0</v>
      </c>
      <c r="G33" s="107">
        <f>$G$32</f>
        <v>0</v>
      </c>
      <c r="H33" s="107">
        <f>H32</f>
        <v>0</v>
      </c>
      <c r="I33" s="107"/>
    </row>
    <row r="34" spans="2:16" x14ac:dyDescent="0.35">
      <c r="D34" s="23"/>
      <c r="E34" s="23"/>
      <c r="F34" s="23"/>
      <c r="G34" s="23"/>
      <c r="N34" s="107"/>
      <c r="O34" s="107"/>
      <c r="P34" s="107"/>
    </row>
    <row r="35" spans="2:16" x14ac:dyDescent="0.35">
      <c r="D35" s="23"/>
      <c r="E35" s="23"/>
      <c r="F35" s="23"/>
      <c r="G35" s="23"/>
      <c r="N35" s="107"/>
      <c r="O35" s="107"/>
      <c r="P35" s="107"/>
    </row>
    <row r="36" spans="2:16" x14ac:dyDescent="0.35">
      <c r="D36" s="23"/>
      <c r="E36" s="23"/>
      <c r="F36" s="23"/>
      <c r="G36" s="23"/>
      <c r="N36" s="107"/>
      <c r="O36" s="107"/>
      <c r="P36" s="107"/>
    </row>
    <row r="37" spans="2:16" x14ac:dyDescent="0.35">
      <c r="D37" s="23"/>
      <c r="E37" s="23"/>
      <c r="F37" s="23"/>
      <c r="G37" s="23"/>
      <c r="N37" s="107"/>
      <c r="O37" s="107"/>
      <c r="P37" s="107"/>
    </row>
    <row r="38" spans="2:16" x14ac:dyDescent="0.35">
      <c r="D38" s="23"/>
      <c r="E38" s="23"/>
      <c r="F38" s="23"/>
      <c r="G38" s="23"/>
      <c r="N38" s="107"/>
      <c r="O38" s="107"/>
      <c r="P38" s="107"/>
    </row>
    <row r="39" spans="2:16" x14ac:dyDescent="0.35">
      <c r="E39" s="179"/>
      <c r="F39" s="23"/>
      <c r="G39" s="23"/>
      <c r="N39" s="107"/>
      <c r="O39" s="107"/>
      <c r="P39" s="107"/>
    </row>
    <row r="40" spans="2:16" ht="16" x14ac:dyDescent="0.35">
      <c r="C40" s="172" t="s">
        <v>520</v>
      </c>
      <c r="D40" s="332" t="s">
        <v>72</v>
      </c>
      <c r="E40" s="174"/>
      <c r="F40" s="190"/>
      <c r="G40" s="133"/>
      <c r="H40" s="133"/>
      <c r="I40" s="133"/>
      <c r="J40" s="133"/>
    </row>
    <row r="41" spans="2:16" ht="21" x14ac:dyDescent="0.4">
      <c r="C41" s="153"/>
      <c r="D41" s="338" t="str">
        <f>'Lønn eller utbytte'!G11</f>
        <v>14,1% - Sone 1 og 1a</v>
      </c>
      <c r="E41" s="174"/>
      <c r="F41" s="190"/>
      <c r="G41" s="191" t="s">
        <v>65</v>
      </c>
      <c r="H41" s="133"/>
      <c r="I41" s="133"/>
      <c r="J41" s="133"/>
    </row>
    <row r="42" spans="2:16" ht="32" x14ac:dyDescent="0.4">
      <c r="C42" s="326" t="s">
        <v>71</v>
      </c>
      <c r="D42" s="334">
        <f>D8</f>
        <v>0</v>
      </c>
      <c r="E42" s="162"/>
      <c r="F42" s="180"/>
      <c r="G42" s="200"/>
      <c r="H42" s="181" t="s">
        <v>86</v>
      </c>
      <c r="I42" s="182" t="s">
        <v>92</v>
      </c>
      <c r="J42" s="133"/>
    </row>
    <row r="43" spans="2:16" ht="16" x14ac:dyDescent="0.4">
      <c r="C43" s="315"/>
      <c r="D43" s="328"/>
      <c r="E43" s="162"/>
      <c r="F43" s="180"/>
      <c r="G43" s="183" t="s">
        <v>89</v>
      </c>
      <c r="H43" s="184">
        <f>D49-D50</f>
        <v>0</v>
      </c>
      <c r="I43" s="185"/>
      <c r="J43" s="133"/>
    </row>
    <row r="44" spans="2:16" ht="16" x14ac:dyDescent="0.4">
      <c r="B44" s="357" t="s">
        <v>542</v>
      </c>
      <c r="C44" s="315" t="s">
        <v>83</v>
      </c>
      <c r="D44" s="328">
        <f>(D11/0.78)-D11</f>
        <v>0</v>
      </c>
      <c r="E44" s="162"/>
      <c r="F44" s="180"/>
      <c r="G44" s="89" t="s">
        <v>84</v>
      </c>
      <c r="H44" s="184">
        <f>D11</f>
        <v>0</v>
      </c>
      <c r="I44" s="186">
        <f>SUM(H43:H45)-'Lønn eller utbytte'!O23</f>
        <v>0</v>
      </c>
      <c r="J44" s="133"/>
    </row>
    <row r="45" spans="2:16" ht="16" x14ac:dyDescent="0.4">
      <c r="C45" s="333" t="s">
        <v>84</v>
      </c>
      <c r="D45" s="335">
        <f>H19</f>
        <v>0</v>
      </c>
      <c r="E45" s="162"/>
      <c r="F45" s="180"/>
      <c r="G45" s="90" t="s">
        <v>90</v>
      </c>
      <c r="H45" s="187">
        <f>D58</f>
        <v>0</v>
      </c>
      <c r="I45" s="188"/>
      <c r="J45" s="133"/>
    </row>
    <row r="46" spans="2:16" ht="16.5" thickBot="1" x14ac:dyDescent="0.45">
      <c r="C46" s="315"/>
      <c r="D46" s="328"/>
      <c r="E46" s="162"/>
      <c r="F46" s="180"/>
      <c r="G46" s="91" t="s">
        <v>87</v>
      </c>
      <c r="H46" s="189">
        <f>SUM(H43:H45)</f>
        <v>0</v>
      </c>
      <c r="I46" s="356">
        <f>H46-I44</f>
        <v>0</v>
      </c>
      <c r="J46" s="133"/>
      <c r="K46" s="23"/>
    </row>
    <row r="47" spans="2:16" ht="16" x14ac:dyDescent="0.4">
      <c r="C47" s="329" t="s">
        <v>93</v>
      </c>
      <c r="D47" s="330">
        <f>(D42-D44-D45)/(1+'Lønn eller utbytte'!AA29)</f>
        <v>0</v>
      </c>
      <c r="E47" s="162"/>
      <c r="F47" s="180"/>
      <c r="G47" s="133"/>
      <c r="H47" s="133"/>
      <c r="I47" s="133"/>
      <c r="J47" s="133"/>
      <c r="K47" s="107"/>
    </row>
    <row r="48" spans="2:16" ht="16" x14ac:dyDescent="0.4">
      <c r="C48" s="315"/>
      <c r="D48" s="328"/>
      <c r="E48" s="162"/>
      <c r="F48" s="25"/>
    </row>
    <row r="49" spans="2:12" ht="16" x14ac:dyDescent="0.4">
      <c r="C49" s="336" t="s">
        <v>538</v>
      </c>
      <c r="D49" s="337">
        <f>IF(D47&lt;IF(AND(D41="14,1% - Sone 1 og 1a",D22&gt;0),980100,IF(AND(D41="10,6% - Sone 2 og 1a",D22&gt;0),980100,D47)),D47,IF(AND(D41="14,1% - Sone 1 og 1a",D22&gt;0),980100,IF(AND(D41="10,6% - Sone 2 og 1a",D22&gt;0),980100,D47)))</f>
        <v>0</v>
      </c>
      <c r="E49" s="162"/>
    </row>
    <row r="50" spans="2:12" ht="16" x14ac:dyDescent="0.4">
      <c r="B50" s="23" t="s">
        <v>546</v>
      </c>
      <c r="C50" s="315" t="s">
        <v>70</v>
      </c>
      <c r="D50" s="328">
        <f>'Kopi til gjenstående'!D36+'Kopi til gjenstående'!D37</f>
        <v>0</v>
      </c>
      <c r="E50" s="175"/>
      <c r="F50" s="138"/>
      <c r="G50" s="138"/>
      <c r="H50" s="138"/>
      <c r="I50" s="138"/>
      <c r="J50" s="138"/>
    </row>
    <row r="51" spans="2:12" ht="16.5" customHeight="1" x14ac:dyDescent="0.5">
      <c r="B51" s="357" t="s">
        <v>543</v>
      </c>
      <c r="C51" s="315" t="s">
        <v>72</v>
      </c>
      <c r="D51" s="328">
        <f>'Kopi til gjenstående'!D38</f>
        <v>0</v>
      </c>
      <c r="E51" s="176"/>
      <c r="F51" s="138"/>
      <c r="G51" s="86" t="s">
        <v>69</v>
      </c>
      <c r="H51" s="138"/>
      <c r="I51" s="138"/>
      <c r="J51" s="138"/>
    </row>
    <row r="52" spans="2:12" ht="32" x14ac:dyDescent="0.4">
      <c r="C52" s="315"/>
      <c r="D52" s="315"/>
      <c r="E52" s="17"/>
      <c r="F52" s="138"/>
      <c r="G52" s="201"/>
      <c r="H52" s="202" t="s">
        <v>86</v>
      </c>
      <c r="I52" s="203" t="s">
        <v>92</v>
      </c>
      <c r="J52" s="138"/>
    </row>
    <row r="53" spans="2:12" ht="16" x14ac:dyDescent="0.4">
      <c r="C53" s="329" t="s">
        <v>73</v>
      </c>
      <c r="D53" s="330">
        <f>IF(D42-D44-D45-D49-D51&lt;0,0,D42-D44-D45-D49-D51)</f>
        <v>0</v>
      </c>
      <c r="E53" s="162"/>
      <c r="F53" s="193"/>
      <c r="G53" s="79" t="s">
        <v>548</v>
      </c>
      <c r="H53" s="194">
        <f>D50+D57</f>
        <v>0</v>
      </c>
      <c r="I53" s="194">
        <f>SUM(H53:H54)-'Lønn eller utbytte'!O14</f>
        <v>0</v>
      </c>
      <c r="J53" s="138"/>
    </row>
    <row r="54" spans="2:12" ht="16" x14ac:dyDescent="0.4">
      <c r="B54" s="357"/>
      <c r="C54" s="315"/>
      <c r="D54" s="331"/>
      <c r="E54" s="177"/>
      <c r="F54" s="192"/>
      <c r="G54" s="195" t="s">
        <v>545</v>
      </c>
      <c r="H54" s="196">
        <f>D44+D51+D55</f>
        <v>0</v>
      </c>
      <c r="I54" s="196"/>
      <c r="J54" s="79"/>
    </row>
    <row r="55" spans="2:12" ht="16.5" thickBot="1" x14ac:dyDescent="0.45">
      <c r="B55" s="357" t="s">
        <v>544</v>
      </c>
      <c r="C55" s="315" t="s">
        <v>549</v>
      </c>
      <c r="D55" s="328">
        <f>D53-(D53*0.78)</f>
        <v>0</v>
      </c>
      <c r="E55" s="176"/>
      <c r="F55" s="192"/>
      <c r="G55" s="81" t="s">
        <v>88</v>
      </c>
      <c r="H55" s="197">
        <f>SUM(H53:H54)</f>
        <v>0</v>
      </c>
      <c r="I55" s="198">
        <f>H55-I53</f>
        <v>0</v>
      </c>
      <c r="J55" s="199"/>
      <c r="L55" s="23"/>
    </row>
    <row r="56" spans="2:12" ht="16" x14ac:dyDescent="0.4">
      <c r="C56" s="315" t="s">
        <v>74</v>
      </c>
      <c r="D56" s="328">
        <f>D53-D55</f>
        <v>0</v>
      </c>
      <c r="E56" s="162"/>
      <c r="F56" s="140"/>
      <c r="G56" s="138"/>
      <c r="H56" s="138"/>
      <c r="I56" s="138"/>
      <c r="J56" s="138"/>
    </row>
    <row r="57" spans="2:12" ht="16" x14ac:dyDescent="0.4">
      <c r="B57" s="23" t="s">
        <v>547</v>
      </c>
      <c r="C57" s="315" t="s">
        <v>19</v>
      </c>
      <c r="D57" s="328">
        <f>D56*0.3784</f>
        <v>0</v>
      </c>
      <c r="E57" s="175"/>
      <c r="F57" s="102"/>
      <c r="G57" s="204"/>
      <c r="H57" s="205"/>
      <c r="I57" s="205"/>
      <c r="J57" s="96"/>
      <c r="K57" s="96"/>
      <c r="L57" s="23"/>
    </row>
    <row r="58" spans="2:12" ht="16" x14ac:dyDescent="0.4">
      <c r="C58" s="315" t="s">
        <v>59</v>
      </c>
      <c r="D58" s="328">
        <f>D56-D57</f>
        <v>0</v>
      </c>
      <c r="E58" s="162"/>
      <c r="F58" s="96"/>
      <c r="G58" s="96"/>
      <c r="H58" s="96"/>
      <c r="I58" s="96"/>
      <c r="J58" s="96"/>
      <c r="K58" s="96"/>
    </row>
    <row r="59" spans="2:12" x14ac:dyDescent="0.35">
      <c r="F59" s="96"/>
      <c r="G59" s="96"/>
      <c r="H59" s="96"/>
      <c r="I59" s="96"/>
      <c r="J59" s="96"/>
      <c r="K59" s="96"/>
    </row>
    <row r="60" spans="2:12" x14ac:dyDescent="0.35">
      <c r="F60" s="96"/>
      <c r="G60" s="96"/>
      <c r="H60" s="96"/>
      <c r="I60" s="96"/>
      <c r="J60" s="96"/>
      <c r="K60" s="96"/>
      <c r="L60" s="23"/>
    </row>
    <row r="65" spans="3:13" x14ac:dyDescent="0.35">
      <c r="M65" s="94"/>
    </row>
    <row r="67" spans="3:13" x14ac:dyDescent="0.35">
      <c r="D67" s="23"/>
      <c r="E67" s="23"/>
      <c r="L67" s="94"/>
    </row>
    <row r="68" spans="3:13" x14ac:dyDescent="0.35">
      <c r="L68" s="94"/>
    </row>
    <row r="69" spans="3:13" x14ac:dyDescent="0.35">
      <c r="L69" s="94"/>
    </row>
    <row r="70" spans="3:13" x14ac:dyDescent="0.35">
      <c r="L70" s="94"/>
    </row>
    <row r="71" spans="3:13" x14ac:dyDescent="0.35">
      <c r="L71" s="94"/>
    </row>
    <row r="72" spans="3:13" x14ac:dyDescent="0.35">
      <c r="L72" s="94"/>
    </row>
    <row r="76" spans="3:13" x14ac:dyDescent="0.35">
      <c r="D76" s="107"/>
      <c r="E76" s="107"/>
      <c r="F76" s="94"/>
    </row>
    <row r="77" spans="3:13" x14ac:dyDescent="0.35">
      <c r="F77" s="94"/>
    </row>
    <row r="78" spans="3:13" x14ac:dyDescent="0.35">
      <c r="C78" s="75"/>
      <c r="F78" s="94"/>
    </row>
    <row r="79" spans="3:13" x14ac:dyDescent="0.35">
      <c r="F79" s="94"/>
    </row>
    <row r="80" spans="3:13" x14ac:dyDescent="0.35">
      <c r="F80" s="23"/>
      <c r="G80" s="23"/>
    </row>
  </sheetData>
  <sheetProtection formatCells="0" formatColumns="0" formatRows="0" insertColumns="0" insertRows="0" selectLockedCells="1"/>
  <pageMargins left="0.7" right="0.7" top="0.75" bottom="0.75" header="0.3" footer="0.3"/>
  <ignoredErrors>
    <ignoredError sqref="D8" unlocked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5DCB6-2AB9-449A-901E-9D1A7E845214}">
  <dimension ref="B2:P81"/>
  <sheetViews>
    <sheetView showGridLines="0" zoomScale="90" zoomScaleNormal="90" workbookViewId="0">
      <selection activeCell="D11" sqref="D11"/>
    </sheetView>
  </sheetViews>
  <sheetFormatPr baseColWidth="10" defaultColWidth="11.453125" defaultRowHeight="14.5" x14ac:dyDescent="0.35"/>
  <cols>
    <col min="1" max="1" width="11.453125" style="21"/>
    <col min="2" max="2" width="3.7265625" style="23" customWidth="1"/>
    <col min="3" max="3" width="63.6328125" style="21" customWidth="1"/>
    <col min="4" max="4" width="19.1796875" style="21" customWidth="1"/>
    <col min="5" max="5" width="16.26953125" style="21" customWidth="1"/>
    <col min="6" max="6" width="7" style="21" customWidth="1"/>
    <col min="7" max="7" width="46.7265625" style="21" customWidth="1"/>
    <col min="8" max="8" width="17" style="21" customWidth="1"/>
    <col min="9" max="9" width="23.08984375" style="21" customWidth="1"/>
    <col min="10" max="10" width="4.7265625" style="21" customWidth="1"/>
    <col min="11" max="11" width="76.7265625" style="21" customWidth="1"/>
    <col min="12" max="12" width="15.453125" style="21" customWidth="1"/>
    <col min="13" max="16384" width="11.453125" style="21"/>
  </cols>
  <sheetData>
    <row r="2" spans="3:12" ht="31" x14ac:dyDescent="0.7">
      <c r="C2" s="65" t="s">
        <v>76</v>
      </c>
    </row>
    <row r="3" spans="3:12" ht="16" x14ac:dyDescent="0.4">
      <c r="C3" s="264" t="s">
        <v>104</v>
      </c>
    </row>
    <row r="4" spans="3:12" ht="16" x14ac:dyDescent="0.4">
      <c r="C4" s="77"/>
    </row>
    <row r="6" spans="3:12" ht="18.5" x14ac:dyDescent="0.45">
      <c r="C6" s="173"/>
    </row>
    <row r="7" spans="3:12" ht="18.5" x14ac:dyDescent="0.45">
      <c r="C7" s="145" t="s">
        <v>42</v>
      </c>
      <c r="D7" s="23"/>
      <c r="E7" s="23"/>
      <c r="F7" s="23"/>
      <c r="G7" s="23"/>
      <c r="L7" s="155"/>
    </row>
    <row r="8" spans="3:12" ht="20.5" customHeight="1" x14ac:dyDescent="0.35">
      <c r="C8" s="40" t="s">
        <v>516</v>
      </c>
      <c r="D8" s="303">
        <f>'Lønn eller utbytte'!O23+'Lønn eller utbytte'!O14</f>
        <v>0</v>
      </c>
      <c r="E8" s="266"/>
      <c r="F8" s="23"/>
      <c r="G8" s="23"/>
      <c r="I8" s="107"/>
      <c r="L8" s="155"/>
    </row>
    <row r="9" spans="3:12" ht="16" x14ac:dyDescent="0.4">
      <c r="D9" s="25"/>
      <c r="E9" s="114"/>
      <c r="F9" s="23"/>
      <c r="G9" s="23"/>
      <c r="K9" s="70"/>
      <c r="L9" s="155"/>
    </row>
    <row r="10" spans="3:12" ht="18.5" x14ac:dyDescent="0.45">
      <c r="C10" s="147" t="s">
        <v>75</v>
      </c>
      <c r="D10" s="148"/>
      <c r="E10" s="102"/>
      <c r="F10" s="23"/>
      <c r="G10" s="23"/>
      <c r="I10" s="107"/>
      <c r="K10" s="70"/>
      <c r="L10" s="155"/>
    </row>
    <row r="11" spans="3:12" ht="18.649999999999999" customHeight="1" x14ac:dyDescent="0.4">
      <c r="C11" s="17" t="s">
        <v>517</v>
      </c>
      <c r="D11" s="304"/>
      <c r="E11" s="267"/>
      <c r="F11" s="23"/>
      <c r="G11" s="23"/>
      <c r="K11" s="70"/>
      <c r="L11" s="155"/>
    </row>
    <row r="12" spans="3:12" x14ac:dyDescent="0.35">
      <c r="D12" s="143"/>
      <c r="E12" s="143"/>
      <c r="F12" s="23"/>
      <c r="G12" s="23"/>
      <c r="L12" s="155"/>
    </row>
    <row r="13" spans="3:12" x14ac:dyDescent="0.35">
      <c r="D13" s="143"/>
      <c r="E13" s="143"/>
      <c r="F13" s="23"/>
      <c r="G13" s="23"/>
      <c r="L13" s="155"/>
    </row>
    <row r="14" spans="3:12" x14ac:dyDescent="0.35">
      <c r="D14" s="143"/>
      <c r="E14" s="143"/>
      <c r="F14" s="23"/>
      <c r="G14" s="23"/>
      <c r="L14" s="155"/>
    </row>
    <row r="15" spans="3:12" ht="18.5" x14ac:dyDescent="0.45">
      <c r="C15" s="311" t="s">
        <v>558</v>
      </c>
      <c r="D15" s="312"/>
      <c r="E15" s="32"/>
      <c r="F15" s="23"/>
      <c r="G15" s="318" t="s">
        <v>81</v>
      </c>
      <c r="H15" s="319"/>
      <c r="K15" s="363"/>
      <c r="L15" s="313"/>
    </row>
    <row r="16" spans="3:12" x14ac:dyDescent="0.35">
      <c r="C16" s="313"/>
      <c r="D16" s="314"/>
      <c r="E16" s="143"/>
      <c r="F16" s="23"/>
      <c r="G16" s="320"/>
      <c r="H16" s="313"/>
      <c r="K16" s="313"/>
      <c r="L16" s="313"/>
    </row>
    <row r="17" spans="3:12" ht="16" x14ac:dyDescent="0.4">
      <c r="C17" s="315" t="s">
        <v>79</v>
      </c>
      <c r="D17" s="316">
        <f>D18+D19</f>
        <v>257980.1</v>
      </c>
      <c r="E17" s="69"/>
      <c r="F17" s="23"/>
      <c r="G17" s="315" t="s">
        <v>518</v>
      </c>
      <c r="H17" s="321">
        <f>H19+H18</f>
        <v>0</v>
      </c>
      <c r="I17" s="169"/>
      <c r="K17" s="326"/>
      <c r="L17" s="327"/>
    </row>
    <row r="18" spans="3:12" ht="16" x14ac:dyDescent="0.4">
      <c r="C18" s="315" t="s">
        <v>103</v>
      </c>
      <c r="D18" s="316">
        <v>226100</v>
      </c>
      <c r="E18" s="69"/>
      <c r="F18" s="305" t="s">
        <v>507</v>
      </c>
      <c r="G18" s="167" t="s">
        <v>519</v>
      </c>
      <c r="H18" s="170">
        <f>(D11/0.78)-D11</f>
        <v>0</v>
      </c>
      <c r="I18" s="73"/>
      <c r="J18" s="306"/>
      <c r="K18" s="315"/>
      <c r="L18" s="322"/>
    </row>
    <row r="19" spans="3:12" ht="16" x14ac:dyDescent="0.4">
      <c r="C19" s="167" t="s">
        <v>46</v>
      </c>
      <c r="D19" s="170">
        <f>Kopi!D38</f>
        <v>31880.100000000006</v>
      </c>
      <c r="E19" s="170"/>
      <c r="F19" s="305" t="s">
        <v>508</v>
      </c>
      <c r="G19" s="315" t="s">
        <v>77</v>
      </c>
      <c r="H19" s="316">
        <f>D11</f>
        <v>0</v>
      </c>
      <c r="I19" s="17"/>
      <c r="K19" s="313"/>
      <c r="L19" s="323"/>
    </row>
    <row r="20" spans="3:12" ht="16" x14ac:dyDescent="0.4">
      <c r="C20" s="168" t="s">
        <v>78</v>
      </c>
      <c r="D20" s="171">
        <f>Kopi!D37+Kopi!D36</f>
        <v>23178.6</v>
      </c>
      <c r="E20" s="171"/>
      <c r="F20" s="23"/>
      <c r="J20" s="325"/>
      <c r="K20" s="294"/>
      <c r="L20" s="324"/>
    </row>
    <row r="21" spans="3:12" ht="16" x14ac:dyDescent="0.4">
      <c r="C21" s="17"/>
      <c r="D21" s="93"/>
      <c r="E21" s="93"/>
      <c r="F21" s="23"/>
      <c r="J21" s="307"/>
      <c r="K21" s="294"/>
      <c r="L21" s="295"/>
    </row>
    <row r="22" spans="3:12" ht="16" x14ac:dyDescent="0.4">
      <c r="C22" s="294" t="s">
        <v>80</v>
      </c>
      <c r="D22" s="317">
        <f>D8-D18-D19</f>
        <v>-257980.1</v>
      </c>
      <c r="E22" s="178"/>
      <c r="F22" s="23"/>
      <c r="G22" s="23"/>
      <c r="J22" s="308"/>
      <c r="K22" s="294"/>
      <c r="L22" s="324"/>
    </row>
    <row r="23" spans="3:12" x14ac:dyDescent="0.35">
      <c r="F23" s="142"/>
      <c r="G23" s="142"/>
      <c r="K23" s="313"/>
      <c r="L23" s="313"/>
    </row>
    <row r="24" spans="3:12" ht="16" x14ac:dyDescent="0.4">
      <c r="C24" s="70" t="str">
        <f>CONCATENATE("Hjelpeberegningen viser at selskapet må ha et overskudd på ",TEXT(D17, "# ##0")," ","kroner for å kunne")</f>
        <v>Hjelpeberegningen viser at selskapet må ha et overskudd på 257 980 kroner for å kunne</v>
      </c>
      <c r="F24" s="23"/>
      <c r="G24" s="309" t="s">
        <v>82</v>
      </c>
      <c r="K24" s="294"/>
      <c r="L24" s="313"/>
    </row>
    <row r="25" spans="3:12" ht="16" x14ac:dyDescent="0.4">
      <c r="C25" s="70" t="str">
        <f>_xlfn.CONCAT("betale ut ",TEXT(D18,"# ##0")," ","kroner i lønn. Dette vil redusere årsresultatet tilsvarende.")</f>
        <v>betale ut 226 100 kroner i lønn. Dette vil redusere årsresultatet tilsvarende.</v>
      </c>
      <c r="F25" s="25"/>
      <c r="G25" s="310" t="s">
        <v>85</v>
      </c>
      <c r="K25" s="294"/>
      <c r="L25" s="313"/>
    </row>
    <row r="26" spans="3:12" ht="16" x14ac:dyDescent="0.4">
      <c r="C26" s="70" t="s">
        <v>521</v>
      </c>
      <c r="D26" s="23"/>
      <c r="E26" s="23"/>
      <c r="F26" s="23"/>
      <c r="G26" s="172"/>
      <c r="K26" s="294"/>
      <c r="L26" s="313"/>
    </row>
    <row r="27" spans="3:12" x14ac:dyDescent="0.35">
      <c r="C27" s="153"/>
      <c r="D27" s="153"/>
      <c r="E27" s="153"/>
      <c r="F27" s="33"/>
      <c r="G27" s="33"/>
      <c r="H27" s="153"/>
      <c r="I27" s="153"/>
      <c r="J27" s="153"/>
    </row>
    <row r="28" spans="3:12" x14ac:dyDescent="0.35">
      <c r="D28" s="23"/>
      <c r="E28" s="23"/>
      <c r="F28" s="23"/>
      <c r="G28" s="23"/>
    </row>
    <row r="29" spans="3:12" x14ac:dyDescent="0.35">
      <c r="D29" s="23"/>
      <c r="E29" s="23"/>
      <c r="F29" s="23"/>
      <c r="G29" s="23"/>
    </row>
    <row r="30" spans="3:12" ht="21" x14ac:dyDescent="0.5">
      <c r="C30" s="39" t="s">
        <v>94</v>
      </c>
      <c r="D30" s="23"/>
      <c r="E30" s="23"/>
      <c r="F30" s="23"/>
      <c r="G30" s="23"/>
    </row>
    <row r="31" spans="3:12" ht="16" x14ac:dyDescent="0.4">
      <c r="C31" s="70"/>
      <c r="D31" s="23"/>
      <c r="E31" s="23"/>
      <c r="F31" s="23"/>
      <c r="G31" s="23"/>
    </row>
    <row r="32" spans="3:12" x14ac:dyDescent="0.35">
      <c r="C32" s="21" t="s">
        <v>91</v>
      </c>
      <c r="D32" s="115">
        <f>D44</f>
        <v>0</v>
      </c>
      <c r="F32" s="364">
        <f>D52</f>
        <v>0</v>
      </c>
      <c r="G32" s="107">
        <f>D56</f>
        <v>0</v>
      </c>
      <c r="H32" s="107">
        <f>D65</f>
        <v>0</v>
      </c>
      <c r="I32" s="107"/>
    </row>
    <row r="33" spans="2:16" x14ac:dyDescent="0.35">
      <c r="C33" s="21" t="s">
        <v>562</v>
      </c>
      <c r="D33" s="115">
        <f>$D$32</f>
        <v>0</v>
      </c>
      <c r="F33" s="25">
        <f>F32</f>
        <v>0</v>
      </c>
      <c r="G33" s="107">
        <f>$G$32</f>
        <v>0</v>
      </c>
      <c r="H33" s="107">
        <f>H32</f>
        <v>0</v>
      </c>
      <c r="I33" s="107"/>
    </row>
    <row r="34" spans="2:16" x14ac:dyDescent="0.35">
      <c r="D34" s="23"/>
      <c r="E34" s="23"/>
      <c r="F34" s="23"/>
      <c r="G34" s="23"/>
      <c r="N34" s="107"/>
      <c r="O34" s="107"/>
      <c r="P34" s="107"/>
    </row>
    <row r="35" spans="2:16" x14ac:dyDescent="0.35">
      <c r="D35" s="23"/>
      <c r="E35" s="23"/>
      <c r="F35" s="23"/>
      <c r="G35" s="23"/>
      <c r="N35" s="107"/>
      <c r="O35" s="107"/>
      <c r="P35" s="107"/>
    </row>
    <row r="36" spans="2:16" x14ac:dyDescent="0.35">
      <c r="D36" s="23"/>
      <c r="E36" s="23"/>
      <c r="F36" s="23"/>
      <c r="G36" s="23"/>
      <c r="N36" s="107"/>
      <c r="O36" s="107"/>
      <c r="P36" s="107"/>
    </row>
    <row r="37" spans="2:16" x14ac:dyDescent="0.35">
      <c r="D37" s="23"/>
      <c r="E37" s="23"/>
      <c r="F37" s="23"/>
      <c r="G37" s="23"/>
      <c r="N37" s="107"/>
      <c r="O37" s="107"/>
      <c r="P37" s="107"/>
    </row>
    <row r="38" spans="2:16" x14ac:dyDescent="0.35">
      <c r="D38" s="23"/>
      <c r="E38" s="23"/>
      <c r="F38" s="23"/>
      <c r="G38" s="23"/>
      <c r="N38" s="107"/>
      <c r="O38" s="107"/>
      <c r="P38" s="107"/>
    </row>
    <row r="39" spans="2:16" x14ac:dyDescent="0.35">
      <c r="E39" s="179"/>
      <c r="F39" s="23"/>
      <c r="G39" s="23"/>
      <c r="N39" s="107"/>
      <c r="O39" s="107"/>
      <c r="P39" s="107"/>
    </row>
    <row r="40" spans="2:16" ht="16" x14ac:dyDescent="0.35">
      <c r="C40" s="172" t="s">
        <v>520</v>
      </c>
      <c r="D40" s="332" t="s">
        <v>72</v>
      </c>
      <c r="E40" s="174"/>
      <c r="F40" s="190"/>
      <c r="G40" s="133"/>
      <c r="H40" s="133"/>
      <c r="I40" s="133"/>
      <c r="J40" s="133"/>
    </row>
    <row r="41" spans="2:16" ht="21" x14ac:dyDescent="0.4">
      <c r="C41" s="153"/>
      <c r="D41" s="338" t="str">
        <f>'Lønn eller utbytte'!G11</f>
        <v>14,1% - Sone 1 og 1a</v>
      </c>
      <c r="E41" s="174"/>
      <c r="F41" s="190"/>
      <c r="G41" s="191" t="s">
        <v>65</v>
      </c>
      <c r="H41" s="133"/>
      <c r="I41" s="133"/>
      <c r="J41" s="133"/>
      <c r="K41" s="107"/>
    </row>
    <row r="42" spans="2:16" ht="32" x14ac:dyDescent="0.4">
      <c r="C42" s="370" t="s">
        <v>71</v>
      </c>
      <c r="D42" s="371">
        <f>D8</f>
        <v>0</v>
      </c>
      <c r="E42" s="162"/>
      <c r="F42" s="180"/>
      <c r="G42" s="200"/>
      <c r="H42" s="181" t="s">
        <v>86</v>
      </c>
      <c r="I42" s="182" t="s">
        <v>576</v>
      </c>
      <c r="J42" s="133"/>
    </row>
    <row r="43" spans="2:16" ht="16" x14ac:dyDescent="0.4">
      <c r="C43" s="315"/>
      <c r="D43" s="328"/>
      <c r="E43" s="162"/>
      <c r="F43" s="180"/>
      <c r="G43" s="183" t="s">
        <v>573</v>
      </c>
      <c r="H43" s="184">
        <f>D44-D45+D56-D57</f>
        <v>0</v>
      </c>
      <c r="I43" s="184"/>
      <c r="J43" s="133"/>
    </row>
    <row r="44" spans="2:16" ht="16" x14ac:dyDescent="0.4">
      <c r="B44" s="365" t="s">
        <v>509</v>
      </c>
      <c r="C44" s="336" t="s">
        <v>569</v>
      </c>
      <c r="D44" s="337">
        <f>IF(D42/(1+'Lønn eller utbytte'!AA29)&gt;D17,D18,(D42/(1+'Lønn eller utbytte'!AA29)))</f>
        <v>0</v>
      </c>
      <c r="E44" s="162"/>
      <c r="F44" s="180"/>
      <c r="G44" s="89" t="s">
        <v>574</v>
      </c>
      <c r="H44" s="184">
        <f>IF(D52&lt;D11,D52,D11)</f>
        <v>0</v>
      </c>
      <c r="I44" s="367">
        <f>IF(H44=0,0,SUM(H43:H45)-'Lønn eller utbytte'!O23)</f>
        <v>0</v>
      </c>
      <c r="J44" s="133"/>
    </row>
    <row r="45" spans="2:16" ht="16" x14ac:dyDescent="0.4">
      <c r="B45" s="23" t="s">
        <v>546</v>
      </c>
      <c r="C45" s="315" t="s">
        <v>70</v>
      </c>
      <c r="D45" s="328">
        <f>'Kopi til gjenstående'!D36+'Kopi til gjenstående'!D37</f>
        <v>0</v>
      </c>
      <c r="E45" s="162"/>
      <c r="F45" s="180"/>
      <c r="G45" s="90" t="s">
        <v>575</v>
      </c>
      <c r="H45" s="187">
        <f>D65</f>
        <v>0</v>
      </c>
      <c r="I45" s="188"/>
      <c r="J45" s="133"/>
    </row>
    <row r="46" spans="2:16" ht="16.5" thickBot="1" x14ac:dyDescent="0.45">
      <c r="B46" s="357" t="s">
        <v>543</v>
      </c>
      <c r="C46" s="315" t="s">
        <v>72</v>
      </c>
      <c r="D46" s="328">
        <f>'Kopi til gjenstående'!D38</f>
        <v>0</v>
      </c>
      <c r="E46" s="162"/>
      <c r="F46" s="180"/>
      <c r="G46" s="91" t="s">
        <v>87</v>
      </c>
      <c r="H46" s="189">
        <f>SUM(H43:H45)</f>
        <v>0</v>
      </c>
      <c r="I46" s="356">
        <f>IF(OR(D41='Diagram marginalskatt'!A24,'Skattefritt utbytte'!D41='Diagram marginalskatt'!A25),'Kopi til gjenstående (2)'!D48,'Kopi til gjenstående (3)'!D41)</f>
        <v>0</v>
      </c>
      <c r="J46" s="133"/>
      <c r="K46" s="23"/>
    </row>
    <row r="47" spans="2:16" ht="16" x14ac:dyDescent="0.4">
      <c r="C47" s="315"/>
      <c r="D47" s="315"/>
      <c r="E47" s="162"/>
      <c r="F47" s="180"/>
      <c r="G47" s="133"/>
      <c r="H47" s="133"/>
      <c r="I47" s="133"/>
      <c r="J47" s="133"/>
      <c r="K47" s="107"/>
    </row>
    <row r="48" spans="2:16" ht="16" x14ac:dyDescent="0.4">
      <c r="C48" s="329" t="s">
        <v>570</v>
      </c>
      <c r="D48" s="330">
        <f>IF(D42-D44-D46&lt;0,0,D42-D44-D46)</f>
        <v>0</v>
      </c>
      <c r="E48" s="162"/>
      <c r="F48" s="25"/>
    </row>
    <row r="49" spans="2:12" ht="16" x14ac:dyDescent="0.4">
      <c r="C49" s="372"/>
      <c r="D49" s="373"/>
      <c r="E49" s="162"/>
      <c r="F49" s="25"/>
    </row>
    <row r="50" spans="2:12" ht="16" x14ac:dyDescent="0.4">
      <c r="C50" s="21" t="s">
        <v>583</v>
      </c>
      <c r="D50" s="328">
        <f>D52+D51</f>
        <v>0</v>
      </c>
      <c r="E50" s="162"/>
    </row>
    <row r="51" spans="2:12" ht="16" x14ac:dyDescent="0.4">
      <c r="B51" s="357" t="s">
        <v>542</v>
      </c>
      <c r="C51" s="315" t="s">
        <v>584</v>
      </c>
      <c r="D51" s="328">
        <f>(D52/0.78)-D52</f>
        <v>0</v>
      </c>
      <c r="E51" s="175"/>
      <c r="F51" s="138"/>
      <c r="G51" s="138"/>
      <c r="H51" s="138"/>
      <c r="I51" s="138"/>
      <c r="J51" s="138"/>
    </row>
    <row r="52" spans="2:12" ht="16.5" customHeight="1" x14ac:dyDescent="0.5">
      <c r="B52" s="23" t="s">
        <v>511</v>
      </c>
      <c r="C52" s="333" t="s">
        <v>582</v>
      </c>
      <c r="D52" s="368">
        <f>IF(D48&gt;H17,H19,D48*0.78)</f>
        <v>0</v>
      </c>
      <c r="E52" s="176"/>
      <c r="F52" s="138"/>
      <c r="G52" s="86" t="s">
        <v>69</v>
      </c>
      <c r="H52" s="138"/>
      <c r="I52" s="138"/>
      <c r="J52" s="138"/>
    </row>
    <row r="53" spans="2:12" ht="32" x14ac:dyDescent="0.4">
      <c r="C53" s="315"/>
      <c r="D53" s="328"/>
      <c r="E53" s="177"/>
      <c r="F53" s="138"/>
      <c r="G53" s="201"/>
      <c r="H53" s="202" t="s">
        <v>86</v>
      </c>
      <c r="I53" s="203" t="s">
        <v>576</v>
      </c>
      <c r="J53" s="138"/>
    </row>
    <row r="54" spans="2:12" ht="16" x14ac:dyDescent="0.4">
      <c r="C54" s="329" t="s">
        <v>572</v>
      </c>
      <c r="D54" s="330">
        <f>D48-D51-D52</f>
        <v>0</v>
      </c>
      <c r="E54" s="162"/>
      <c r="F54" s="193"/>
      <c r="G54" s="79" t="s">
        <v>548</v>
      </c>
      <c r="H54" s="194">
        <f>D45+D57+D64</f>
        <v>0</v>
      </c>
      <c r="I54" s="366">
        <f>IF(H44=0,0,SUM(H54:H55)-'Lønn eller utbytte'!O14)</f>
        <v>0</v>
      </c>
      <c r="J54" s="138"/>
    </row>
    <row r="55" spans="2:12" ht="16" x14ac:dyDescent="0.4">
      <c r="E55" s="177"/>
      <c r="F55" s="192"/>
      <c r="G55" s="195" t="s">
        <v>545</v>
      </c>
      <c r="H55" s="196">
        <f>D51+D46+D58+D62</f>
        <v>0</v>
      </c>
      <c r="I55" s="196"/>
      <c r="J55" s="79"/>
    </row>
    <row r="56" spans="2:12" ht="16.5" thickBot="1" x14ac:dyDescent="0.45">
      <c r="B56" s="365" t="s">
        <v>510</v>
      </c>
      <c r="C56" s="336" t="s">
        <v>571</v>
      </c>
      <c r="D56" s="337">
        <f>IF(OR(D41='Diagram marginalskatt'!A24,'Skattefritt utbytte'!D41='Diagram marginalskatt'!A25)*AND('Skattefritt utbytte'!D54&gt;=(980100/1.141)),980100-'Skattefritt utbytte'!D18,'Skattefritt utbytte'!D54/(1+'Lønn eller utbytte'!AA29))</f>
        <v>0</v>
      </c>
      <c r="E56" s="25"/>
      <c r="F56" s="192"/>
      <c r="G56" s="81" t="s">
        <v>88</v>
      </c>
      <c r="H56" s="197">
        <f>SUM(H54:H55)</f>
        <v>0</v>
      </c>
      <c r="I56" s="198">
        <f>H56-I54</f>
        <v>0</v>
      </c>
      <c r="J56" s="199"/>
      <c r="L56" s="23"/>
    </row>
    <row r="57" spans="2:12" ht="16" x14ac:dyDescent="0.4">
      <c r="C57" s="315" t="s">
        <v>70</v>
      </c>
      <c r="D57" s="162">
        <f>IF(D54&lt;=0,0,'Kopi til gjenstående (2)'!D37-'Kopi til gjenstående'!D37+'Kopi til gjenstående (2)'!D26-'Kopi til gjenstående'!D26+'Kopi til gjenstående (2)'!D34)</f>
        <v>0</v>
      </c>
      <c r="E57" s="25"/>
      <c r="F57" s="140"/>
      <c r="G57" s="138"/>
      <c r="H57" s="138"/>
      <c r="I57" s="138"/>
      <c r="J57" s="138"/>
    </row>
    <row r="58" spans="2:12" ht="16" x14ac:dyDescent="0.4">
      <c r="C58" s="315" t="s">
        <v>72</v>
      </c>
      <c r="D58" s="162">
        <f>'Kopi til gjenstående (2)'!D38</f>
        <v>0</v>
      </c>
      <c r="E58" s="175"/>
      <c r="F58" s="102"/>
      <c r="G58" s="204"/>
      <c r="H58" s="205"/>
      <c r="I58" s="205"/>
      <c r="J58" s="96"/>
      <c r="K58" s="96"/>
      <c r="L58" s="23"/>
    </row>
    <row r="59" spans="2:12" ht="16" x14ac:dyDescent="0.4">
      <c r="E59" s="162"/>
      <c r="F59" s="96"/>
      <c r="G59" s="96"/>
      <c r="H59" s="96"/>
      <c r="I59" s="96"/>
      <c r="J59" s="96"/>
      <c r="K59" s="96"/>
    </row>
    <row r="60" spans="2:12" ht="16" x14ac:dyDescent="0.4">
      <c r="C60" s="329" t="s">
        <v>568</v>
      </c>
      <c r="D60" s="330">
        <f>D54-D56-D58</f>
        <v>0</v>
      </c>
      <c r="F60" s="96"/>
      <c r="G60" s="96"/>
      <c r="H60" s="96"/>
      <c r="I60" s="96"/>
      <c r="J60" s="96"/>
      <c r="K60" s="96"/>
    </row>
    <row r="61" spans="2:12" ht="16" x14ac:dyDescent="0.4">
      <c r="B61" s="357"/>
      <c r="C61" s="315"/>
      <c r="D61" s="331"/>
      <c r="F61" s="96"/>
      <c r="G61" s="96"/>
      <c r="H61" s="96"/>
      <c r="I61" s="96"/>
      <c r="J61" s="96"/>
      <c r="K61" s="96"/>
      <c r="L61" s="23"/>
    </row>
    <row r="62" spans="2:12" ht="16" x14ac:dyDescent="0.4">
      <c r="B62" s="357" t="s">
        <v>544</v>
      </c>
      <c r="C62" s="315" t="s">
        <v>549</v>
      </c>
      <c r="D62" s="328">
        <f>D60-(D60*0.78)</f>
        <v>0</v>
      </c>
    </row>
    <row r="63" spans="2:12" ht="16" x14ac:dyDescent="0.4">
      <c r="C63" s="315" t="s">
        <v>74</v>
      </c>
      <c r="D63" s="328">
        <f>D60-D62</f>
        <v>0</v>
      </c>
    </row>
    <row r="64" spans="2:12" ht="16" x14ac:dyDescent="0.4">
      <c r="B64" s="23" t="s">
        <v>547</v>
      </c>
      <c r="C64" s="315" t="s">
        <v>19</v>
      </c>
      <c r="D64" s="328">
        <f>D63*0.3784</f>
        <v>0</v>
      </c>
    </row>
    <row r="65" spans="2:13" ht="16" x14ac:dyDescent="0.4">
      <c r="B65" s="23" t="s">
        <v>512</v>
      </c>
      <c r="C65" s="315" t="s">
        <v>59</v>
      </c>
      <c r="D65" s="328">
        <f>D63-D64</f>
        <v>0</v>
      </c>
    </row>
    <row r="66" spans="2:13" x14ac:dyDescent="0.35">
      <c r="M66" s="155"/>
    </row>
    <row r="68" spans="2:13" x14ac:dyDescent="0.35">
      <c r="D68" s="23"/>
      <c r="E68" s="23"/>
      <c r="L68" s="155"/>
    </row>
    <row r="69" spans="2:13" x14ac:dyDescent="0.35">
      <c r="L69" s="155"/>
    </row>
    <row r="70" spans="2:13" x14ac:dyDescent="0.35">
      <c r="L70" s="155"/>
    </row>
    <row r="71" spans="2:13" x14ac:dyDescent="0.35">
      <c r="L71" s="155"/>
    </row>
    <row r="72" spans="2:13" x14ac:dyDescent="0.35">
      <c r="L72" s="155"/>
    </row>
    <row r="73" spans="2:13" x14ac:dyDescent="0.35">
      <c r="L73" s="155"/>
    </row>
    <row r="77" spans="2:13" x14ac:dyDescent="0.35">
      <c r="D77" s="107"/>
      <c r="E77" s="107"/>
      <c r="F77" s="94"/>
    </row>
    <row r="78" spans="2:13" x14ac:dyDescent="0.35">
      <c r="F78" s="94"/>
    </row>
    <row r="79" spans="2:13" x14ac:dyDescent="0.35">
      <c r="C79" s="75"/>
      <c r="F79" s="94"/>
    </row>
    <row r="80" spans="2:13" x14ac:dyDescent="0.35">
      <c r="F80" s="94"/>
    </row>
    <row r="81" spans="6:7" x14ac:dyDescent="0.35">
      <c r="F81" s="23"/>
      <c r="G81" s="23"/>
    </row>
  </sheetData>
  <sheetProtection algorithmName="SHA-512" hashValue="APaXlSmYSZRXsxubtM6BF0cMNp17YRpV/4zG0jZJJqBAEXE5W/smaMNpYUn7JMC7e5QRQsrNGuRAuyytbMrgPQ==" saltValue="BiSHRu4jfgl8DLXDyEgK9g==" spinCount="100000" sheet="1" formatCells="0" formatColumns="0" formatRows="0" insertColumns="0" insertRows="0" selectLockedCell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6333C-FB76-41DF-9990-5F15975685F2}">
  <dimension ref="A3:M42"/>
  <sheetViews>
    <sheetView showGridLines="0" zoomScaleNormal="100" workbookViewId="0">
      <selection activeCell="E18" sqref="E18"/>
    </sheetView>
  </sheetViews>
  <sheetFormatPr baseColWidth="10" defaultRowHeight="14.5" x14ac:dyDescent="0.35"/>
  <cols>
    <col min="1" max="1" width="18.81640625" customWidth="1"/>
    <col min="2" max="12" width="14.26953125" style="1" customWidth="1"/>
    <col min="13" max="13" width="13.1796875" bestFit="1" customWidth="1"/>
  </cols>
  <sheetData>
    <row r="3" spans="1:13" ht="29" x14ac:dyDescent="0.35">
      <c r="A3" s="3" t="s">
        <v>30</v>
      </c>
      <c r="B3" s="6" t="s">
        <v>0</v>
      </c>
      <c r="C3" s="6" t="s">
        <v>22</v>
      </c>
      <c r="D3" s="10" t="s">
        <v>23</v>
      </c>
    </row>
    <row r="4" spans="1:13" x14ac:dyDescent="0.35">
      <c r="A4" s="15" t="str">
        <f>'Lønn eller utbytte'!$G$11</f>
        <v>14,1% - Sone 1 og 1a</v>
      </c>
      <c r="B4" s="2">
        <v>1</v>
      </c>
      <c r="C4" s="2">
        <f>B4*(1+'Lønn eller utbytte'!$AA$29)</f>
        <v>1.141</v>
      </c>
      <c r="D4" s="11"/>
    </row>
    <row r="5" spans="1:13" x14ac:dyDescent="0.35">
      <c r="A5" s="15" t="str">
        <f>'Lønn eller utbytte'!$G$11</f>
        <v>14,1% - Sone 1 og 1a</v>
      </c>
      <c r="B5" s="2">
        <v>99650</v>
      </c>
      <c r="C5" s="2">
        <f>B5*(1+'Lønn eller utbytte'!$AA$29)</f>
        <v>113700.65</v>
      </c>
      <c r="D5" s="12">
        <f>B5*'Lønn eller utbytte'!$AA$29/C5</f>
        <v>0.1235758106923751</v>
      </c>
    </row>
    <row r="6" spans="1:13" x14ac:dyDescent="0.35">
      <c r="A6" s="15" t="str">
        <f>'Lønn eller utbytte'!$G$11</f>
        <v>14,1% - Sone 1 og 1a</v>
      </c>
      <c r="B6" s="2">
        <v>99651</v>
      </c>
      <c r="C6" s="2">
        <f>B6*(1+'Lønn eller utbytte'!$AA$29)</f>
        <v>113701.791</v>
      </c>
      <c r="D6" s="12">
        <f>((B6*'Lønn eller utbytte'!$AA$29)+((B6-B5)*'Lønn eller utbytte'!$AA$26))/C6</f>
        <v>0.12357647910752785</v>
      </c>
    </row>
    <row r="7" spans="1:13" x14ac:dyDescent="0.35">
      <c r="A7" s="15" t="str">
        <f>'Lønn eller utbytte'!$G$11</f>
        <v>14,1% - Sone 1 og 1a</v>
      </c>
      <c r="B7" s="2">
        <v>144000</v>
      </c>
      <c r="C7" s="2">
        <f>B7*(1+'Lønn eller utbytte'!$AA$29)</f>
        <v>164304</v>
      </c>
      <c r="D7" s="12">
        <f>((B7*'Lønn eller utbytte'!$AA$29)+(B7*'Lønn eller utbytte'!$AA$26))/C7</f>
        <v>0.19018404907975459</v>
      </c>
      <c r="G7" s="16"/>
      <c r="H7" s="2"/>
    </row>
    <row r="8" spans="1:13" x14ac:dyDescent="0.35">
      <c r="A8" s="15" t="str">
        <f>'Lønn eller utbytte'!$G$11</f>
        <v>14,1% - Sone 1 og 1a</v>
      </c>
      <c r="B8" s="2">
        <v>210240</v>
      </c>
      <c r="C8" s="2">
        <f>B8*(1+'Lønn eller utbytte'!$AA$29)</f>
        <v>239883.84</v>
      </c>
      <c r="D8" s="13">
        <f>D7</f>
        <v>0.19018404907975459</v>
      </c>
      <c r="E8" s="358" t="s">
        <v>553</v>
      </c>
    </row>
    <row r="9" spans="1:13" x14ac:dyDescent="0.35">
      <c r="A9" s="15" t="str">
        <f>'Lønn eller utbytte'!$G$11</f>
        <v>14,1% - Sone 1 og 1a</v>
      </c>
      <c r="B9" s="2">
        <v>210241</v>
      </c>
      <c r="C9" s="2">
        <f>B9*(1+'Lønn eller utbytte'!$AA$29)</f>
        <v>239884.981</v>
      </c>
      <c r="D9" s="13">
        <f>((B9*'Lønn eller utbytte'!$AA$29)+(B9*'Lønn eller utbytte'!$AA$26)+(B9-('Lønn eller utbytte'!AB13)-'Lønn eller utbytte'!AB10)*'Lønn eller utbytte'!$AA$16)/C9</f>
        <v>0.19018496618594055</v>
      </c>
      <c r="H9" s="2"/>
      <c r="I9" s="2"/>
    </row>
    <row r="10" spans="1:13" x14ac:dyDescent="0.35">
      <c r="A10" s="15" t="str">
        <f>'Lønn eller utbytte'!$G$11</f>
        <v>14,1% - Sone 1 og 1a</v>
      </c>
      <c r="B10" s="2">
        <v>226100</v>
      </c>
      <c r="C10" s="2">
        <f>B10*(1+'Lønn eller utbytte'!$AA$29)</f>
        <v>257980.1</v>
      </c>
      <c r="D10" s="13">
        <f>'Lønn eller utbytte'!V10</f>
        <v>0</v>
      </c>
      <c r="E10" s="1" t="s">
        <v>554</v>
      </c>
      <c r="M10" s="7"/>
    </row>
    <row r="11" spans="1:13" x14ac:dyDescent="0.35">
      <c r="A11" s="15" t="str">
        <f>'Lønn eller utbytte'!$G$11</f>
        <v>14,1% - Sone 1 og 1a</v>
      </c>
      <c r="B11" s="2">
        <v>226101</v>
      </c>
      <c r="C11" s="2">
        <f>B11*(1+'Lønn eller utbytte'!$AA$29)</f>
        <v>257981.24100000001</v>
      </c>
      <c r="D11" s="13">
        <f>'Lønn eller utbytte'!V11</f>
        <v>0</v>
      </c>
      <c r="M11" s="7"/>
    </row>
    <row r="12" spans="1:13" x14ac:dyDescent="0.35">
      <c r="A12" s="15" t="str">
        <f>'Lønn eller utbytte'!$G$11</f>
        <v>14,1% - Sone 1 og 1a</v>
      </c>
      <c r="B12" s="2">
        <v>318300</v>
      </c>
      <c r="C12" s="2">
        <f>B12*(1+'Lønn eller utbytte'!$AA$29)</f>
        <v>363180.3</v>
      </c>
      <c r="D12" s="13">
        <f>'Lønn eller utbytte'!V11</f>
        <v>0</v>
      </c>
      <c r="M12" s="7"/>
    </row>
    <row r="13" spans="1:13" x14ac:dyDescent="0.35">
      <c r="A13" s="15" t="str">
        <f>'Lønn eller utbytte'!$G$11</f>
        <v>14,1% - Sone 1 og 1a</v>
      </c>
      <c r="B13" s="2">
        <v>318301</v>
      </c>
      <c r="C13" s="2">
        <f>B13*(1+'Lønn eller utbytte'!$AA$29)</f>
        <v>363181.44099999999</v>
      </c>
      <c r="D13" s="13">
        <f>'Lønn eller utbytte'!V12</f>
        <v>0</v>
      </c>
    </row>
    <row r="14" spans="1:13" x14ac:dyDescent="0.35">
      <c r="A14" s="15" t="str">
        <f>'Lønn eller utbytte'!$G$11</f>
        <v>14,1% - Sone 1 og 1a</v>
      </c>
      <c r="B14" s="2">
        <v>725050</v>
      </c>
      <c r="C14" s="2">
        <f>B14*(1+'Lønn eller utbytte'!$AA$29)</f>
        <v>827282.05</v>
      </c>
      <c r="D14" s="12">
        <f>'Lønn eller utbytte'!V12</f>
        <v>0</v>
      </c>
    </row>
    <row r="15" spans="1:13" x14ac:dyDescent="0.35">
      <c r="A15" s="15" t="str">
        <f>'Lønn eller utbytte'!$G$11</f>
        <v>14,1% - Sone 1 og 1a</v>
      </c>
      <c r="B15" s="2">
        <v>725051</v>
      </c>
      <c r="C15" s="2">
        <f>B15*(1+'Lønn eller utbytte'!$AA$29)</f>
        <v>827283.19099999999</v>
      </c>
      <c r="D15" s="12">
        <f>'Lønn eller utbytte'!V13</f>
        <v>0</v>
      </c>
    </row>
    <row r="16" spans="1:13" x14ac:dyDescent="0.35">
      <c r="A16" s="15" t="str">
        <f>'Lønn eller utbytte'!$G$11</f>
        <v>14,1% - Sone 1 og 1a</v>
      </c>
      <c r="B16" s="2">
        <v>980100</v>
      </c>
      <c r="C16" s="2">
        <f>B16*(1+'Lønn eller utbytte'!$AA$29)</f>
        <v>1118294.1000000001</v>
      </c>
      <c r="D16" s="12">
        <f>'Lønn eller utbytte'!V13</f>
        <v>0</v>
      </c>
    </row>
    <row r="17" spans="1:12" x14ac:dyDescent="0.35">
      <c r="A17" s="15" t="str">
        <f>'Lønn eller utbytte'!$G$11</f>
        <v>14,1% - Sone 1 og 1a</v>
      </c>
      <c r="B17" s="2">
        <v>980101</v>
      </c>
      <c r="C17" s="2">
        <f>B17*(1+'Lønn eller utbytte'!$AA$29)</f>
        <v>1118295.2409999999</v>
      </c>
      <c r="D17" s="12">
        <f>'Lønn eller utbytte'!V14</f>
        <v>0</v>
      </c>
    </row>
    <row r="18" spans="1:12" x14ac:dyDescent="0.35">
      <c r="A18" s="15" t="str">
        <f>'Lønn eller utbytte'!$G$11</f>
        <v>14,1% - Sone 1 og 1a</v>
      </c>
      <c r="B18" s="2">
        <v>1467200</v>
      </c>
      <c r="C18" s="2">
        <f>B18*(1+'Lønn eller utbytte'!$AA$29)</f>
        <v>1674075.2</v>
      </c>
      <c r="D18" s="12">
        <f>'Lønn eller utbytte'!V14</f>
        <v>0</v>
      </c>
    </row>
    <row r="19" spans="1:12" x14ac:dyDescent="0.35">
      <c r="A19" s="15" t="str">
        <f>'Lønn eller utbytte'!$G$11</f>
        <v>14,1% - Sone 1 og 1a</v>
      </c>
      <c r="B19" s="2">
        <v>1467201</v>
      </c>
      <c r="C19" s="2">
        <f>B19*(1+'Lønn eller utbytte'!$AA$29)</f>
        <v>1674076.341</v>
      </c>
      <c r="D19" s="12">
        <f>'Lønn eller utbytte'!V15</f>
        <v>0</v>
      </c>
    </row>
    <row r="20" spans="1:12" x14ac:dyDescent="0.35">
      <c r="A20" s="15" t="str">
        <f>'Lønn eller utbytte'!$G$11</f>
        <v>14,1% - Sone 1 og 1a</v>
      </c>
      <c r="B20" s="2">
        <v>1600000</v>
      </c>
      <c r="C20" s="2">
        <f>B20*(1+'Lønn eller utbytte'!$AA$29)</f>
        <v>1825600</v>
      </c>
      <c r="D20" s="14">
        <f>'Lønn eller utbytte'!V15</f>
        <v>0</v>
      </c>
    </row>
    <row r="21" spans="1:12" x14ac:dyDescent="0.35">
      <c r="B21" s="2"/>
      <c r="C21" s="2"/>
      <c r="D21" s="5"/>
      <c r="E21" s="5"/>
      <c r="F21" s="5"/>
      <c r="G21" s="5"/>
      <c r="H21" s="5"/>
      <c r="I21" s="5"/>
      <c r="J21" s="5"/>
      <c r="K21" s="5"/>
      <c r="L21" s="5"/>
    </row>
    <row r="22" spans="1:12" x14ac:dyDescent="0.35">
      <c r="B22" s="2"/>
      <c r="C22" s="2"/>
      <c r="D22" s="5"/>
      <c r="E22" s="5"/>
      <c r="F22" s="5"/>
      <c r="G22" s="5"/>
      <c r="H22" s="5"/>
      <c r="I22" s="5"/>
      <c r="J22" s="5"/>
      <c r="K22" s="5"/>
      <c r="L22" s="5"/>
    </row>
    <row r="23" spans="1:12" x14ac:dyDescent="0.35">
      <c r="A23" s="3" t="s">
        <v>31</v>
      </c>
      <c r="B23" s="2"/>
      <c r="C23" s="71" t="s">
        <v>64</v>
      </c>
      <c r="D23" s="4"/>
      <c r="E23" s="4"/>
      <c r="F23" s="4"/>
      <c r="G23" s="4"/>
      <c r="H23" s="4"/>
      <c r="I23" s="4"/>
      <c r="J23" s="4"/>
      <c r="K23" s="4"/>
      <c r="L23" s="4"/>
    </row>
    <row r="24" spans="1:12" x14ac:dyDescent="0.35">
      <c r="A24" s="15" t="s">
        <v>32</v>
      </c>
      <c r="B24" s="9">
        <v>0.14099999999999999</v>
      </c>
      <c r="C24" s="72" t="s">
        <v>555</v>
      </c>
      <c r="D24" s="4"/>
      <c r="E24" s="4"/>
      <c r="F24" s="4"/>
      <c r="G24" s="4"/>
      <c r="H24" s="4"/>
      <c r="I24" s="4"/>
      <c r="J24" s="4"/>
      <c r="K24" s="4"/>
      <c r="L24" s="4"/>
    </row>
    <row r="25" spans="1:12" x14ac:dyDescent="0.35">
      <c r="A25" s="15" t="s">
        <v>33</v>
      </c>
      <c r="B25" s="9">
        <v>0.106</v>
      </c>
      <c r="C25" s="72" t="s">
        <v>556</v>
      </c>
      <c r="D25" s="4"/>
      <c r="E25" s="4"/>
      <c r="F25" s="4"/>
      <c r="G25" s="4"/>
      <c r="H25" s="4"/>
      <c r="I25" s="4"/>
      <c r="J25" s="4"/>
      <c r="K25" s="4"/>
      <c r="L25" s="4"/>
    </row>
    <row r="26" spans="1:12" x14ac:dyDescent="0.35">
      <c r="A26" s="15" t="s">
        <v>34</v>
      </c>
      <c r="B26" s="9">
        <v>6.4000000000000001E-2</v>
      </c>
      <c r="C26" s="72" t="s">
        <v>528</v>
      </c>
      <c r="D26" s="4"/>
      <c r="E26" s="4"/>
      <c r="F26" s="4"/>
      <c r="G26" s="4"/>
      <c r="H26" s="4"/>
      <c r="I26" s="4"/>
      <c r="J26" s="4"/>
      <c r="K26" s="4"/>
      <c r="L26" s="4"/>
    </row>
    <row r="27" spans="1:12" x14ac:dyDescent="0.35">
      <c r="A27" s="15" t="s">
        <v>35</v>
      </c>
      <c r="B27" s="9">
        <v>5.0999999999999997E-2</v>
      </c>
      <c r="C27" s="72" t="s">
        <v>528</v>
      </c>
      <c r="D27" s="4"/>
      <c r="E27" s="4"/>
      <c r="F27" s="4"/>
      <c r="G27" s="4"/>
      <c r="H27" s="4"/>
      <c r="I27" s="4"/>
      <c r="J27" s="4"/>
      <c r="K27" s="4"/>
      <c r="L27" s="4"/>
    </row>
    <row r="28" spans="1:12" x14ac:dyDescent="0.35">
      <c r="A28" s="15" t="s">
        <v>36</v>
      </c>
      <c r="B28" s="9">
        <v>7.9000000000000001E-2</v>
      </c>
      <c r="C28" s="72" t="s">
        <v>528</v>
      </c>
      <c r="D28" s="4"/>
      <c r="E28" s="4"/>
      <c r="F28" s="4"/>
      <c r="G28" s="4"/>
      <c r="H28" s="4"/>
      <c r="I28" s="4"/>
      <c r="J28" s="4"/>
      <c r="K28" s="4"/>
      <c r="L28" s="4"/>
    </row>
    <row r="29" spans="1:12" x14ac:dyDescent="0.35">
      <c r="A29" s="15" t="s">
        <v>37</v>
      </c>
      <c r="B29" s="8">
        <v>0</v>
      </c>
      <c r="C29" s="72" t="s">
        <v>528</v>
      </c>
      <c r="D29" s="4"/>
      <c r="E29" s="4"/>
      <c r="F29" s="4"/>
      <c r="G29" s="4"/>
      <c r="H29" s="4"/>
      <c r="I29" s="4"/>
      <c r="J29" s="4"/>
      <c r="K29" s="4"/>
      <c r="L29" s="4"/>
    </row>
    <row r="30" spans="1:12" x14ac:dyDescent="0.35">
      <c r="A30" s="15"/>
      <c r="B30" s="2"/>
      <c r="C30" s="2"/>
      <c r="D30" s="4"/>
      <c r="E30" s="4"/>
      <c r="F30" s="4"/>
      <c r="G30" s="4"/>
      <c r="H30" s="4"/>
      <c r="I30" s="4"/>
      <c r="J30" s="4"/>
      <c r="K30" s="4"/>
      <c r="L30" s="4"/>
    </row>
    <row r="31" spans="1:12" x14ac:dyDescent="0.35">
      <c r="A31" s="15" t="s">
        <v>32</v>
      </c>
      <c r="B31" s="9">
        <v>0.14099999999999999</v>
      </c>
      <c r="C31" s="2"/>
      <c r="D31" s="4"/>
      <c r="E31" s="4"/>
      <c r="F31" s="4"/>
      <c r="G31" s="4"/>
      <c r="H31" s="4"/>
      <c r="I31" s="4"/>
      <c r="J31" s="4"/>
      <c r="K31" s="4"/>
      <c r="L31" s="4"/>
    </row>
    <row r="32" spans="1:12" x14ac:dyDescent="0.35">
      <c r="A32" s="15" t="s">
        <v>33</v>
      </c>
      <c r="B32" s="9">
        <v>0.106</v>
      </c>
      <c r="C32" s="2"/>
      <c r="D32" s="4"/>
      <c r="E32" s="4"/>
      <c r="F32" s="4"/>
      <c r="G32" s="4"/>
      <c r="H32" s="4"/>
      <c r="I32" s="4"/>
      <c r="J32" s="4"/>
      <c r="K32" s="4"/>
      <c r="L32" s="4"/>
    </row>
    <row r="33" spans="1:12" x14ac:dyDescent="0.35">
      <c r="A33" s="15" t="s">
        <v>34</v>
      </c>
      <c r="B33" s="9">
        <v>6.4000000000000001E-2</v>
      </c>
      <c r="C33" s="2"/>
      <c r="D33" s="4"/>
      <c r="E33" s="4"/>
      <c r="F33" s="4"/>
      <c r="G33" s="4"/>
      <c r="H33" s="4"/>
      <c r="I33" s="4"/>
      <c r="J33" s="4"/>
      <c r="K33" s="4"/>
      <c r="L33" s="4"/>
    </row>
    <row r="34" spans="1:12" x14ac:dyDescent="0.35">
      <c r="A34" s="15" t="s">
        <v>35</v>
      </c>
      <c r="B34" s="9">
        <v>5.0999999999999997E-2</v>
      </c>
      <c r="C34" s="2"/>
      <c r="D34" s="4"/>
      <c r="E34" s="4"/>
      <c r="F34" s="4"/>
      <c r="G34" s="4"/>
      <c r="H34" s="4"/>
      <c r="I34" s="4"/>
      <c r="J34" s="4"/>
      <c r="K34" s="4"/>
      <c r="L34" s="4"/>
    </row>
    <row r="35" spans="1:12" x14ac:dyDescent="0.35">
      <c r="A35" s="15" t="s">
        <v>36</v>
      </c>
      <c r="B35" s="9">
        <v>7.9000000000000001E-2</v>
      </c>
      <c r="C35" s="2"/>
      <c r="D35" s="4"/>
      <c r="E35" s="4"/>
      <c r="F35" s="4"/>
      <c r="G35" s="4"/>
      <c r="H35" s="4"/>
      <c r="I35" s="4"/>
      <c r="J35" s="4"/>
      <c r="K35" s="4"/>
      <c r="L35" s="4"/>
    </row>
    <row r="36" spans="1:12" x14ac:dyDescent="0.35">
      <c r="A36" s="15" t="s">
        <v>37</v>
      </c>
      <c r="B36" s="8">
        <v>0</v>
      </c>
      <c r="C36" s="2"/>
      <c r="D36" s="4"/>
      <c r="E36" s="4"/>
      <c r="F36" s="4"/>
      <c r="G36" s="4"/>
      <c r="H36" s="4"/>
      <c r="I36" s="4"/>
      <c r="J36" s="4"/>
      <c r="K36" s="4"/>
      <c r="L36" s="4"/>
    </row>
    <row r="37" spans="1:12" x14ac:dyDescent="0.35">
      <c r="B37" s="2"/>
      <c r="C37" s="2"/>
      <c r="D37" s="4"/>
      <c r="E37" s="4"/>
      <c r="F37" s="4"/>
      <c r="G37" s="4"/>
      <c r="H37" s="4"/>
      <c r="I37" s="4"/>
      <c r="J37" s="4"/>
      <c r="K37" s="4"/>
      <c r="L37" s="4"/>
    </row>
    <row r="38" spans="1:12" x14ac:dyDescent="0.35">
      <c r="B38" s="2"/>
      <c r="C38" s="2"/>
      <c r="D38" s="4"/>
      <c r="E38" s="4"/>
      <c r="F38" s="4"/>
      <c r="G38" s="4"/>
      <c r="H38" s="4"/>
      <c r="I38" s="4"/>
      <c r="J38" s="4"/>
      <c r="K38" s="4"/>
      <c r="L38" s="4"/>
    </row>
    <row r="39" spans="1:12" x14ac:dyDescent="0.35">
      <c r="B39" s="2"/>
      <c r="C39" s="2"/>
      <c r="D39" s="4"/>
      <c r="E39" s="4"/>
      <c r="F39" s="4"/>
      <c r="G39" s="4"/>
      <c r="H39" s="4"/>
      <c r="I39" s="4"/>
      <c r="J39" s="4"/>
      <c r="K39" s="4"/>
      <c r="L39" s="4"/>
    </row>
    <row r="40" spans="1:12" x14ac:dyDescent="0.35">
      <c r="B40" s="2"/>
      <c r="C40" s="2"/>
      <c r="D40" s="4"/>
      <c r="E40" s="4"/>
      <c r="F40" s="4"/>
      <c r="G40" s="4"/>
      <c r="H40" s="4"/>
      <c r="I40" s="4"/>
      <c r="J40" s="4"/>
      <c r="K40" s="4"/>
      <c r="L40" s="4"/>
    </row>
    <row r="41" spans="1:12" x14ac:dyDescent="0.35">
      <c r="B41" s="2"/>
      <c r="C41" s="2"/>
      <c r="D41" s="4"/>
      <c r="E41" s="4"/>
      <c r="F41" s="4"/>
      <c r="G41" s="4"/>
      <c r="H41" s="4"/>
      <c r="I41" s="4"/>
      <c r="J41" s="4"/>
      <c r="K41" s="4"/>
      <c r="L41" s="4"/>
    </row>
    <row r="42" spans="1:12" x14ac:dyDescent="0.35">
      <c r="B42" s="2"/>
      <c r="C42" s="2"/>
      <c r="D42" s="4"/>
      <c r="E42" s="4"/>
      <c r="F42" s="4"/>
      <c r="G42" s="4"/>
      <c r="H42" s="4"/>
      <c r="I42" s="4"/>
      <c r="J42" s="4"/>
      <c r="K42" s="4"/>
      <c r="L42" s="4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091DA-B862-4EDC-9437-B7C927D8E3CE}">
  <dimension ref="B1:X67"/>
  <sheetViews>
    <sheetView showGridLines="0" topLeftCell="A7" zoomScale="90" zoomScaleNormal="90" workbookViewId="0">
      <selection activeCell="D11" sqref="D11"/>
    </sheetView>
  </sheetViews>
  <sheetFormatPr baseColWidth="10" defaultColWidth="11.453125" defaultRowHeight="14.5" x14ac:dyDescent="0.35"/>
  <cols>
    <col min="1" max="1" width="4" style="21" customWidth="1"/>
    <col min="2" max="2" width="9.1796875" style="21" customWidth="1"/>
    <col min="3" max="3" width="50.54296875" style="21" customWidth="1"/>
    <col min="4" max="4" width="22.81640625" style="23" customWidth="1"/>
    <col min="5" max="6" width="7.81640625" style="23" customWidth="1"/>
    <col min="7" max="7" width="3.1796875" style="21" customWidth="1"/>
    <col min="8" max="8" width="15.81640625" style="21" bestFit="1" customWidth="1"/>
    <col min="9" max="9" width="23.54296875" style="21" customWidth="1"/>
    <col min="10" max="10" width="14" style="94" customWidth="1"/>
    <col min="11" max="11" width="23.54296875" style="21" customWidth="1"/>
    <col min="12" max="12" width="17.54296875" style="21" customWidth="1"/>
    <col min="13" max="13" width="17.7265625" style="21" customWidth="1"/>
    <col min="14" max="14" width="23.54296875" style="95" customWidth="1"/>
    <col min="15" max="15" width="11.453125" style="21"/>
    <col min="16" max="16" width="12" style="21" bestFit="1" customWidth="1"/>
    <col min="17" max="17" width="11.453125" style="21"/>
    <col min="18" max="18" width="9.54296875" style="21" customWidth="1"/>
    <col min="19" max="19" width="4.26953125" style="21" customWidth="1"/>
    <col min="20" max="20" width="6.7265625" style="21" customWidth="1"/>
    <col min="21" max="21" width="25.54296875" style="96" customWidth="1"/>
    <col min="22" max="22" width="13.453125" style="96" customWidth="1"/>
    <col min="23" max="23" width="14.54296875" style="96" customWidth="1"/>
    <col min="24" max="24" width="5" style="96" customWidth="1"/>
    <col min="25" max="16384" width="11.453125" style="21"/>
  </cols>
  <sheetData>
    <row r="1" spans="3:24" x14ac:dyDescent="0.35">
      <c r="G1" s="23"/>
    </row>
    <row r="2" spans="3:24" x14ac:dyDescent="0.35">
      <c r="G2" s="23"/>
    </row>
    <row r="3" spans="3:24" x14ac:dyDescent="0.35">
      <c r="G3" s="23"/>
    </row>
    <row r="4" spans="3:24" ht="21" x14ac:dyDescent="0.5">
      <c r="C4" s="39"/>
      <c r="H4" s="39" t="s">
        <v>57</v>
      </c>
      <c r="I4" s="97"/>
      <c r="J4" s="98"/>
      <c r="K4" s="97"/>
      <c r="L4" s="97"/>
      <c r="M4" s="97"/>
      <c r="N4" s="99"/>
      <c r="X4" s="102"/>
    </row>
    <row r="6" spans="3:24" ht="32.5" x14ac:dyDescent="0.45">
      <c r="C6" s="159"/>
      <c r="D6" s="102"/>
      <c r="H6" s="47" t="s">
        <v>21</v>
      </c>
      <c r="I6" s="48" t="s">
        <v>29</v>
      </c>
      <c r="J6" s="49" t="s">
        <v>20</v>
      </c>
      <c r="K6" s="48" t="s">
        <v>24</v>
      </c>
      <c r="L6" s="50" t="s">
        <v>28</v>
      </c>
      <c r="M6" s="49" t="s">
        <v>25</v>
      </c>
      <c r="N6" s="51" t="s">
        <v>26</v>
      </c>
      <c r="X6" s="102"/>
    </row>
    <row r="7" spans="3:24" ht="18" customHeight="1" x14ac:dyDescent="0.4">
      <c r="C7" s="96"/>
      <c r="D7" s="102"/>
      <c r="H7" s="52">
        <f>IF(D11*(1+I38)&gt;J28*(1+I38),J28*(1+I38),D11*(1+I38))</f>
        <v>248053.4</v>
      </c>
      <c r="I7" s="53"/>
      <c r="J7" s="54">
        <f>H7/(1+I38)</f>
        <v>217400</v>
      </c>
      <c r="K7" s="53"/>
      <c r="L7" s="55">
        <f>IF(H7=0,0,N7/H7)</f>
        <v>0.20600483605546224</v>
      </c>
      <c r="M7" s="54">
        <f>N7</f>
        <v>51100.2</v>
      </c>
      <c r="N7" s="56">
        <f>IF(D11&gt;J28,((J28-J22-J19)*I25)+(J28*I35)+(J28*(1+I38)-J28),IF(D21-D22-D23&lt;=0,D39,IF(AND(D11&lt;=J28,D24&gt;0),D39,0)))</f>
        <v>51100.2</v>
      </c>
      <c r="X7" s="102"/>
    </row>
    <row r="8" spans="3:24" ht="18" customHeight="1" x14ac:dyDescent="0.4">
      <c r="C8" s="160"/>
      <c r="D8" s="161"/>
      <c r="E8" s="25"/>
      <c r="F8" s="25"/>
      <c r="H8" s="57">
        <f>IF($D$11*(1+$I$38)&gt;J29*(1+$I$38),J29*(1+$I$38)-H7,IF(AND($D$11*(1+$I$38)&gt;J28*(1+$I$38),$D$11*(1+$I$38)&lt;=J29*(1+$I$38)),$D$11*(1+$I$38)-H7,0))</f>
        <v>9926.7000000000116</v>
      </c>
      <c r="I8" s="58">
        <f>IF(H8=0,0,H7+H8)</f>
        <v>257980.1</v>
      </c>
      <c r="J8" s="58">
        <f>H8/(1+$I$38)</f>
        <v>8700.0000000000109</v>
      </c>
      <c r="K8" s="58">
        <f>IF(J8=0,0,J7+J8)</f>
        <v>226100</v>
      </c>
      <c r="L8" s="59">
        <f t="shared" ref="L8:L10" si="0">IF(H8=0,0,M8/H8)</f>
        <v>0.3987730061349703</v>
      </c>
      <c r="M8" s="58">
        <f t="shared" ref="M8:M10" si="1">IF(N8=0,0,N8-N7)</f>
        <v>3958.5000000000146</v>
      </c>
      <c r="N8" s="60">
        <f>IF(D11&gt;J29,(((J29-J22-J19)*I25))+(J29*I35)+((J29*(1+I38))-J29)+((J29-J28)*I28),IF(AND(D21&gt;J28,D21&lt;=J29),((D21-D22-D23)*I25)+(D21*I35)+((D21-J28)*I28)+((D21*(1+I38))-D21),0))</f>
        <v>55058.700000000012</v>
      </c>
      <c r="P8" s="107"/>
      <c r="X8" s="102"/>
    </row>
    <row r="9" spans="3:24" ht="18" customHeight="1" x14ac:dyDescent="0.4">
      <c r="H9" s="57">
        <f>IF(D11*(1+I38)&gt;J30*(1+I38),J30*(1+I38)-H8-H7,IF(AND(D11*(1+I38)&gt;J29+(1*I38),D11*(1+I38)&lt;=J30*(1+I38)),D11*(1+I38)-H8-H7,0))</f>
        <v>0</v>
      </c>
      <c r="I9" s="58">
        <f t="shared" ref="I9" si="2">IF(H9=0,0,I8+H9)</f>
        <v>0</v>
      </c>
      <c r="J9" s="58">
        <f>H9/(1+$I$38)</f>
        <v>0</v>
      </c>
      <c r="K9" s="58">
        <f t="shared" ref="K9" si="3">IF(J9=0,0,K8+J9)</f>
        <v>0</v>
      </c>
      <c r="L9" s="59">
        <f t="shared" si="0"/>
        <v>0</v>
      </c>
      <c r="M9" s="58">
        <f t="shared" si="1"/>
        <v>0</v>
      </c>
      <c r="N9" s="60">
        <f>IF(D11&gt;J30,((((J30-J22-J19)*I25)+(J30*I35)+(J29-J28)*I28)+(J30-J29)*I29)+(J30*(1+I38)-J30),IF(AND(D21&gt;J29,D21&lt;=J30),((D21-D22-D23)*I25)+(D21*I35)+((J29-J28)*I28)+((D21-J29)*I29)+((D21*(1+I38))-D21),0))</f>
        <v>0</v>
      </c>
      <c r="P9" s="111"/>
      <c r="X9" s="102"/>
    </row>
    <row r="10" spans="3:24" ht="18" customHeight="1" x14ac:dyDescent="0.45">
      <c r="C10" s="147" t="s">
        <v>40</v>
      </c>
      <c r="D10" s="148"/>
      <c r="H10" s="57">
        <f>IF(D11*(1+I38)&gt;J31*(1+I38),J31*(1+I38)-H9-H8-H7,IF(AND(D11*(1+I38)&gt;J30+(1*I38),D11*(1+I38)&lt;=J31*(1+I38)),D11*(1+I38)-H9-H8-H7,0))</f>
        <v>0</v>
      </c>
      <c r="I10" s="58">
        <f>IF(H10&lt;=0.00001,0,I9+H10)</f>
        <v>0</v>
      </c>
      <c r="J10" s="58">
        <f>H10/(1+$I$38)</f>
        <v>0</v>
      </c>
      <c r="K10" s="58">
        <f>IF(J10&lt;=0.0001,0,K9+J10)</f>
        <v>0</v>
      </c>
      <c r="L10" s="59">
        <f t="shared" si="0"/>
        <v>0</v>
      </c>
      <c r="M10" s="58">
        <f t="shared" si="1"/>
        <v>0</v>
      </c>
      <c r="N10" s="60">
        <f>IF(D11&gt;J31,(J31-J22-J19)*I25+(J31*I35)+(J29-J28)*I28+(J30-J29)*I29+(J31-J30)*I30+(J31*(1+I38)-J31),IF(AND(D21&gt;J30,D21&lt;=J31),((D21-D22-D23)*I25)+(D21*I35)+(J29-J28)*I28+(J30-J29)*I29+(D21-J30)*I30+(D21*(1+I38)-D21),0))</f>
        <v>0</v>
      </c>
      <c r="X10" s="102"/>
    </row>
    <row r="11" spans="3:24" ht="18" customHeight="1" thickBot="1" x14ac:dyDescent="0.45">
      <c r="C11" s="17" t="s">
        <v>48</v>
      </c>
      <c r="D11" s="144">
        <f>'Lønn eller utbytte - skjerming'!D18</f>
        <v>226100</v>
      </c>
      <c r="E11" s="25"/>
      <c r="F11" s="25"/>
      <c r="H11" s="57">
        <f>IF(D11*(1+I38)&gt;J32*(1+I38),J32*(1+I38)-H10-H9-H8-H7,IF(AND(D11*(1+I38)&gt;J31+(1*I38),D11*(1+I38)&lt;=J32*(1+I38)),D11*(1+I38)-H10-H9-H8-H7,0))</f>
        <v>0</v>
      </c>
      <c r="I11" s="58">
        <f>IF(H11&lt;=0.0001,0,I10+H11)</f>
        <v>0</v>
      </c>
      <c r="J11" s="58">
        <f>H11/(1+$I$38)</f>
        <v>0</v>
      </c>
      <c r="K11" s="58">
        <f>IF(J11&lt;=0.0001,0,K10+J11)</f>
        <v>0</v>
      </c>
      <c r="L11" s="59">
        <f>IF(H11=0,0,M11/H11)</f>
        <v>0</v>
      </c>
      <c r="M11" s="58">
        <f>IF(N11=0,0,N11-N10)</f>
        <v>0</v>
      </c>
      <c r="N11" s="60">
        <f>IF(D11&gt;J32,(J32-J22-J19)*I25+(J32*I35)+(J29-J28)*I28+(J30-J29)*I29+(J31-J30)*I30+(J32-J31)*I31+(J38*I38)+(J32-J38)*I38,IF(AND(D21&gt;J31,D21&lt;=J32),((D21-D22-D23)*I25)+(D21*I35)+(J29-J28)*I28+(J30-J29)*I29+(J31-J30)*I30+(D21-J31)*I31+(J38*I38)+(D21-J38)*I38,0))</f>
        <v>0</v>
      </c>
      <c r="P11" s="107"/>
      <c r="X11" s="114"/>
    </row>
    <row r="12" spans="3:24" ht="18" customHeight="1" x14ac:dyDescent="0.4">
      <c r="C12" s="29"/>
      <c r="D12" s="30"/>
      <c r="H12" s="61">
        <f>IF((D11-J38)*(1+I38)+J38*(1+I38)&gt;(J32-J38)*(1+I38)+J38*(1+I38),(D11-J38)*(1+I38)+J38*(1+I38)-H11-H10-H9-H8-H7,0)</f>
        <v>0</v>
      </c>
      <c r="I12" s="62">
        <f>IF(H12=0,0,I11+H12)</f>
        <v>0</v>
      </c>
      <c r="J12" s="62">
        <f>H12/(1+$I$38)</f>
        <v>0</v>
      </c>
      <c r="K12" s="62">
        <f>IF(J12=0,0,K11+J12)</f>
        <v>0</v>
      </c>
      <c r="L12" s="63">
        <f>IF(H12=0,0,M12/H12)</f>
        <v>0</v>
      </c>
      <c r="M12" s="62">
        <f>IF(N12=0,0,N12-N11)</f>
        <v>0</v>
      </c>
      <c r="N12" s="64">
        <f>IF(D11&gt;J32,((D21-D22-D23)*I25+(I35*D21)+(J29-J28)*I28+(J30-J29)*I29+(J31-J30)*I30+(J32-J31)*I31+(D21-J32)*I32)+(J38*(1+I38)-J38)+(D21-J38)*(1+I38)-(D21-J38),0)</f>
        <v>0</v>
      </c>
      <c r="P12" s="115"/>
      <c r="X12" s="114"/>
    </row>
    <row r="13" spans="3:24" ht="18" customHeight="1" x14ac:dyDescent="0.45">
      <c r="C13" s="165"/>
      <c r="E13" s="25"/>
      <c r="F13" s="25"/>
      <c r="X13" s="102"/>
    </row>
    <row r="14" spans="3:24" ht="18" customHeight="1" x14ac:dyDescent="0.35">
      <c r="C14" s="40"/>
      <c r="D14" s="166"/>
      <c r="E14" s="25"/>
      <c r="F14" s="25"/>
      <c r="G14" s="107"/>
      <c r="X14" s="102"/>
    </row>
    <row r="15" spans="3:24" ht="17.25" customHeight="1" x14ac:dyDescent="0.5">
      <c r="H15" s="100" t="s">
        <v>27</v>
      </c>
      <c r="I15" s="101"/>
      <c r="J15" s="101"/>
      <c r="X15" s="102"/>
    </row>
    <row r="16" spans="3:24" ht="16.5" customHeight="1" x14ac:dyDescent="0.4">
      <c r="C16" s="26"/>
      <c r="D16" s="27"/>
      <c r="H16" s="96"/>
      <c r="I16" s="96"/>
      <c r="J16" s="96"/>
      <c r="X16" s="102"/>
    </row>
    <row r="17" spans="3:24" ht="16" x14ac:dyDescent="0.4">
      <c r="C17" s="26"/>
      <c r="D17" s="28"/>
      <c r="H17" s="103"/>
      <c r="I17" s="101"/>
      <c r="J17" s="101"/>
      <c r="X17" s="102"/>
    </row>
    <row r="18" spans="3:24" ht="21" x14ac:dyDescent="0.5">
      <c r="C18" s="39" t="s">
        <v>62</v>
      </c>
      <c r="G18" s="23"/>
      <c r="H18" s="104"/>
      <c r="I18" s="105"/>
      <c r="J18" s="106" t="s">
        <v>4</v>
      </c>
      <c r="X18" s="102"/>
    </row>
    <row r="19" spans="3:24" x14ac:dyDescent="0.35">
      <c r="G19" s="23"/>
      <c r="H19" s="108" t="s">
        <v>16</v>
      </c>
      <c r="I19" s="109"/>
      <c r="J19" s="110">
        <v>108550</v>
      </c>
      <c r="X19" s="102"/>
    </row>
    <row r="20" spans="3:24" ht="14.25" customHeight="1" x14ac:dyDescent="0.4">
      <c r="C20" s="19" t="s">
        <v>50</v>
      </c>
      <c r="D20" s="31" t="s">
        <v>4</v>
      </c>
      <c r="G20" s="34"/>
      <c r="H20" s="112"/>
      <c r="I20" s="113"/>
      <c r="J20" s="113"/>
      <c r="K20" s="157"/>
      <c r="L20" s="157"/>
      <c r="M20" s="157"/>
      <c r="N20" s="157"/>
      <c r="O20" s="157"/>
      <c r="P20" s="157"/>
      <c r="X20" s="102"/>
    </row>
    <row r="21" spans="3:24" ht="16" x14ac:dyDescent="0.4">
      <c r="C21" s="17" t="s">
        <v>40</v>
      </c>
      <c r="D21" s="25">
        <f>D11</f>
        <v>226100</v>
      </c>
      <c r="G21" s="123"/>
      <c r="H21" s="104"/>
      <c r="I21" s="105" t="s">
        <v>2</v>
      </c>
      <c r="J21" s="106" t="s">
        <v>3</v>
      </c>
      <c r="K21" s="128"/>
      <c r="L21" s="128"/>
      <c r="M21" s="128"/>
      <c r="N21" s="128"/>
      <c r="O21" s="128"/>
      <c r="P21" s="128"/>
      <c r="X21" s="102"/>
    </row>
    <row r="22" spans="3:24" ht="16" x14ac:dyDescent="0.4">
      <c r="C22" s="17" t="s">
        <v>1</v>
      </c>
      <c r="D22" s="25">
        <f>IF(D21*I22&gt;=J22,J22,D21*I22)</f>
        <v>92000</v>
      </c>
      <c r="E22" s="32"/>
      <c r="F22" s="32"/>
      <c r="G22" s="23"/>
      <c r="H22" s="108" t="s">
        <v>1</v>
      </c>
      <c r="I22" s="109">
        <v>0.46</v>
      </c>
      <c r="J22" s="110">
        <v>92000</v>
      </c>
      <c r="K22" s="128"/>
      <c r="L22" s="128"/>
      <c r="M22" s="128"/>
      <c r="N22" s="128"/>
      <c r="O22" s="128"/>
      <c r="P22" s="128"/>
      <c r="X22" s="102"/>
    </row>
    <row r="23" spans="3:24" ht="16" x14ac:dyDescent="0.4">
      <c r="C23" s="18" t="s">
        <v>16</v>
      </c>
      <c r="D23" s="35">
        <f>IF(D11=0,0,J19)</f>
        <v>108550</v>
      </c>
      <c r="G23" s="23"/>
      <c r="H23" s="112"/>
      <c r="I23" s="113"/>
      <c r="J23" s="113"/>
      <c r="K23" s="128"/>
      <c r="L23" s="128"/>
      <c r="M23" s="128"/>
      <c r="N23" s="128"/>
      <c r="O23" s="128"/>
      <c r="P23" s="128"/>
      <c r="X23" s="102"/>
    </row>
    <row r="24" spans="3:24" ht="16" customHeight="1" thickBot="1" x14ac:dyDescent="0.45">
      <c r="C24" s="77" t="s">
        <v>51</v>
      </c>
      <c r="D24" s="76">
        <f>IF(D21-D22-D23&lt;=0,0,D21-D22-D23)</f>
        <v>25550</v>
      </c>
      <c r="G24" s="127"/>
      <c r="H24" s="104"/>
      <c r="I24" s="105" t="s">
        <v>2</v>
      </c>
      <c r="J24" s="116"/>
      <c r="K24" s="128"/>
      <c r="L24" s="128"/>
      <c r="M24" s="128"/>
      <c r="N24" s="128"/>
      <c r="O24" s="128"/>
      <c r="P24" s="128"/>
      <c r="X24" s="102"/>
    </row>
    <row r="25" spans="3:24" x14ac:dyDescent="0.35">
      <c r="D25" s="25"/>
      <c r="E25" s="34"/>
      <c r="F25" s="34"/>
      <c r="G25" s="23"/>
      <c r="H25" s="108" t="s">
        <v>7</v>
      </c>
      <c r="I25" s="109">
        <v>0.22</v>
      </c>
      <c r="J25" s="117"/>
      <c r="K25" s="128"/>
      <c r="L25" s="128"/>
      <c r="M25" s="128"/>
      <c r="N25" s="128"/>
      <c r="O25" s="128"/>
      <c r="P25" s="128"/>
      <c r="X25" s="102"/>
    </row>
    <row r="26" spans="3:24" ht="16" x14ac:dyDescent="0.4">
      <c r="C26" s="19" t="s">
        <v>52</v>
      </c>
      <c r="D26" s="42">
        <f>IF(D21&lt;J41,0,(D24)*I25)</f>
        <v>5621</v>
      </c>
      <c r="E26" s="34"/>
      <c r="F26" s="34"/>
      <c r="G26" s="23"/>
      <c r="H26" s="112"/>
      <c r="I26" s="113"/>
      <c r="J26" s="113"/>
      <c r="K26" s="128"/>
      <c r="L26" s="128"/>
      <c r="M26" s="128"/>
      <c r="N26" s="128"/>
      <c r="O26" s="128"/>
      <c r="P26" s="128"/>
      <c r="X26" s="102"/>
    </row>
    <row r="27" spans="3:24" x14ac:dyDescent="0.35">
      <c r="E27" s="34"/>
      <c r="F27" s="34"/>
      <c r="G27" s="23"/>
      <c r="H27" s="104"/>
      <c r="I27" s="105" t="s">
        <v>2</v>
      </c>
      <c r="J27" s="106" t="s">
        <v>6</v>
      </c>
      <c r="K27" s="128"/>
      <c r="L27" s="128"/>
      <c r="M27" s="128"/>
      <c r="N27" s="128"/>
      <c r="O27" s="128"/>
      <c r="P27" s="128"/>
      <c r="X27" s="102"/>
    </row>
    <row r="28" spans="3:24" ht="16" x14ac:dyDescent="0.4">
      <c r="C28" s="19" t="s">
        <v>54</v>
      </c>
      <c r="D28" s="33"/>
      <c r="E28" s="34"/>
      <c r="F28" s="34"/>
      <c r="G28" s="23"/>
      <c r="H28" s="118" t="s">
        <v>5</v>
      </c>
      <c r="I28" s="119">
        <v>1.7000000000000001E-2</v>
      </c>
      <c r="J28" s="120">
        <v>217400</v>
      </c>
      <c r="K28" s="128"/>
      <c r="L28" s="128"/>
      <c r="M28" s="128"/>
      <c r="N28" s="128"/>
      <c r="O28" s="128"/>
      <c r="P28" s="128"/>
      <c r="X28" s="102"/>
    </row>
    <row r="29" spans="3:24" ht="16" x14ac:dyDescent="0.4">
      <c r="C29" s="17" t="s">
        <v>5</v>
      </c>
      <c r="D29" s="25">
        <f>IF(D21&lt;J28,0,IF(AND(D21&gt;=J28,D21&lt;=J29),D21-J28,IF(D21&gt;J29,J29-J28,0)))*I28</f>
        <v>147.9</v>
      </c>
      <c r="E29" s="34"/>
      <c r="F29" s="34"/>
      <c r="G29" s="23"/>
      <c r="H29" s="118" t="s">
        <v>8</v>
      </c>
      <c r="I29" s="119">
        <v>0.04</v>
      </c>
      <c r="J29" s="120">
        <v>306050</v>
      </c>
      <c r="K29" s="128"/>
      <c r="L29" s="128"/>
      <c r="M29" s="128"/>
      <c r="N29" s="128"/>
      <c r="O29" s="128"/>
      <c r="P29" s="128"/>
      <c r="X29" s="102"/>
    </row>
    <row r="30" spans="3:24" ht="16" customHeight="1" x14ac:dyDescent="0.4">
      <c r="C30" s="17" t="s">
        <v>8</v>
      </c>
      <c r="D30" s="25">
        <f>IF(D21&lt;J29,0,IF(AND(D21&gt;J29,D21&lt;=J30),D21-J29,IF(D21&gt;J30,J30-J29,0)))*I29</f>
        <v>0</v>
      </c>
      <c r="E30" s="34"/>
      <c r="F30" s="34"/>
      <c r="G30" s="23"/>
      <c r="H30" s="118" t="s">
        <v>9</v>
      </c>
      <c r="I30" s="119">
        <v>0.13700000000000001</v>
      </c>
      <c r="J30" s="120">
        <v>697150</v>
      </c>
      <c r="K30" s="128"/>
      <c r="L30" s="128"/>
      <c r="M30" s="128"/>
      <c r="N30" s="128"/>
      <c r="O30" s="128"/>
      <c r="P30" s="128"/>
      <c r="X30" s="102"/>
    </row>
    <row r="31" spans="3:24" ht="16" customHeight="1" x14ac:dyDescent="0.4">
      <c r="C31" s="17" t="s">
        <v>9</v>
      </c>
      <c r="D31" s="25">
        <f>IF($D$21&lt;J30,0,IF(AND($D$21&gt;J30,$D$21&lt;=J31),$D$21-J30,IF($D$21&gt;J31,J31-J30,0)))*I30</f>
        <v>0</v>
      </c>
      <c r="G31" s="23"/>
      <c r="H31" s="118" t="s">
        <v>10</v>
      </c>
      <c r="I31" s="119">
        <v>0.16700000000000001</v>
      </c>
      <c r="J31" s="120">
        <v>942400</v>
      </c>
      <c r="K31" s="128"/>
      <c r="L31" s="128"/>
      <c r="M31" s="128"/>
      <c r="N31" s="128"/>
      <c r="O31" s="128"/>
      <c r="P31" s="128"/>
      <c r="X31" s="102"/>
    </row>
    <row r="32" spans="3:24" ht="16" customHeight="1" x14ac:dyDescent="0.4">
      <c r="C32" s="17" t="s">
        <v>10</v>
      </c>
      <c r="D32" s="25">
        <f>IF($D$21&lt;J31,0,IF(AND($D$21&gt;J31,$D$21&lt;=J32),$D$21-J31,IF($D$21&gt;J32,J32-J31,0)))*I31</f>
        <v>0</v>
      </c>
      <c r="E32" s="34"/>
      <c r="F32" s="34"/>
      <c r="H32" s="108" t="s">
        <v>11</v>
      </c>
      <c r="I32" s="125">
        <v>0.17699999999999999</v>
      </c>
      <c r="J32" s="110">
        <v>1410750</v>
      </c>
      <c r="K32" s="128"/>
      <c r="L32" s="128"/>
      <c r="M32" s="128"/>
      <c r="N32" s="128"/>
      <c r="O32" s="128"/>
      <c r="P32" s="128"/>
      <c r="X32" s="102"/>
    </row>
    <row r="33" spans="3:24" ht="16.5" customHeight="1" x14ac:dyDescent="0.4">
      <c r="C33" s="18" t="s">
        <v>11</v>
      </c>
      <c r="D33" s="35">
        <f>IF(D21&lt;J32,0,(D21-J32))*I32</f>
        <v>0</v>
      </c>
      <c r="H33" s="112"/>
      <c r="I33" s="113"/>
      <c r="J33" s="113"/>
      <c r="K33" s="128"/>
      <c r="L33" s="128"/>
      <c r="M33" s="128"/>
      <c r="N33" s="128"/>
      <c r="O33" s="128"/>
      <c r="P33" s="128"/>
      <c r="X33" s="102"/>
    </row>
    <row r="34" spans="3:24" ht="16.5" customHeight="1" thickBot="1" x14ac:dyDescent="0.45">
      <c r="C34" s="77" t="s">
        <v>53</v>
      </c>
      <c r="D34" s="76">
        <f>SUM(D29:D33)</f>
        <v>147.9</v>
      </c>
      <c r="E34" s="36"/>
      <c r="F34" s="36"/>
      <c r="H34" s="104"/>
      <c r="I34" s="105" t="s">
        <v>13</v>
      </c>
      <c r="J34" s="106" t="s">
        <v>14</v>
      </c>
      <c r="K34" s="128"/>
      <c r="L34" s="128"/>
      <c r="M34" s="128"/>
      <c r="N34" s="128"/>
      <c r="O34" s="128"/>
      <c r="P34" s="128"/>
      <c r="X34" s="102"/>
    </row>
    <row r="35" spans="3:24" ht="16.5" customHeight="1" x14ac:dyDescent="0.35">
      <c r="E35" s="37"/>
      <c r="F35" s="37"/>
      <c r="H35" s="108" t="s">
        <v>12</v>
      </c>
      <c r="I35" s="125">
        <v>7.6999999999999999E-2</v>
      </c>
      <c r="J35" s="110">
        <v>99650</v>
      </c>
      <c r="K35" s="128"/>
      <c r="L35" s="128"/>
      <c r="M35" s="128"/>
      <c r="N35" s="128"/>
      <c r="O35" s="128"/>
      <c r="P35" s="128"/>
      <c r="X35" s="102"/>
    </row>
    <row r="36" spans="3:24" ht="16" x14ac:dyDescent="0.4">
      <c r="C36" s="45" t="s">
        <v>58</v>
      </c>
      <c r="D36" s="46">
        <f>D26+D34</f>
        <v>5768.9</v>
      </c>
      <c r="E36" s="37"/>
      <c r="F36" s="37"/>
      <c r="H36" s="112"/>
      <c r="I36" s="113"/>
      <c r="J36" s="113"/>
      <c r="K36" s="128"/>
      <c r="L36" s="128"/>
      <c r="M36" s="128"/>
      <c r="N36" s="128"/>
      <c r="O36" s="128"/>
      <c r="P36" s="128"/>
      <c r="X36" s="102"/>
    </row>
    <row r="37" spans="3:24" ht="17.25" customHeight="1" x14ac:dyDescent="0.4">
      <c r="C37" s="17" t="s">
        <v>12</v>
      </c>
      <c r="D37" s="25">
        <f>IF(D21&lt;J35,0,IF((D21-J35)*0.25&lt;(D21*I35),(D21-J35)*0.25,D21*I35))</f>
        <v>17409.7</v>
      </c>
      <c r="E37" s="36"/>
      <c r="F37" s="36"/>
      <c r="H37" s="104"/>
      <c r="I37" s="105" t="s">
        <v>2</v>
      </c>
      <c r="J37" s="106" t="s">
        <v>6</v>
      </c>
      <c r="K37" s="128"/>
      <c r="L37" s="128"/>
      <c r="M37" s="128"/>
      <c r="N37" s="128"/>
      <c r="O37" s="128"/>
      <c r="P37" s="128"/>
      <c r="V37" s="102"/>
      <c r="W37" s="102"/>
      <c r="X37" s="102"/>
    </row>
    <row r="38" spans="3:24" ht="17.25" customHeight="1" x14ac:dyDescent="0.4">
      <c r="C38" s="43" t="s">
        <v>46</v>
      </c>
      <c r="D38" s="44">
        <f>D11*(1+I38)-D11</f>
        <v>31880.100000000006</v>
      </c>
      <c r="E38" s="37"/>
      <c r="F38" s="37"/>
      <c r="H38" s="129" t="s">
        <v>15</v>
      </c>
      <c r="I38" s="125" cm="1">
        <f t="array" ref="I38">INDEX('Diagram marginalskatt'!B31:B36,MATCH('Lønn eller utbytte'!G11,'Diagram marginalskatt'!A31:A36,0),)</f>
        <v>0.14099999999999999</v>
      </c>
      <c r="J38" s="117">
        <v>1</v>
      </c>
      <c r="K38" s="128"/>
      <c r="L38" s="128"/>
      <c r="M38" s="128"/>
      <c r="N38" s="128"/>
      <c r="O38" s="128"/>
      <c r="P38" s="128"/>
    </row>
    <row r="39" spans="3:24" ht="17.25" customHeight="1" x14ac:dyDescent="0.4">
      <c r="C39" s="20" t="s">
        <v>55</v>
      </c>
      <c r="D39" s="74">
        <f>SUM(D36:D38)</f>
        <v>55058.700000000004</v>
      </c>
      <c r="E39" s="36"/>
      <c r="F39" s="36"/>
      <c r="H39" s="130"/>
      <c r="I39" s="119"/>
      <c r="J39" s="131"/>
      <c r="K39" s="128"/>
      <c r="L39" s="128"/>
      <c r="M39" s="128"/>
      <c r="N39" s="128"/>
      <c r="O39" s="128"/>
      <c r="P39" s="128"/>
    </row>
    <row r="40" spans="3:24" ht="16.5" customHeight="1" x14ac:dyDescent="0.35">
      <c r="H40" s="104"/>
      <c r="I40" s="132"/>
      <c r="J40" s="106" t="s">
        <v>14</v>
      </c>
      <c r="K40" s="128"/>
      <c r="L40" s="128"/>
      <c r="M40" s="128"/>
      <c r="N40" s="128"/>
      <c r="O40" s="128"/>
      <c r="P40" s="128"/>
    </row>
    <row r="41" spans="3:24" x14ac:dyDescent="0.35">
      <c r="E41" s="34"/>
      <c r="F41" s="34"/>
      <c r="H41" s="108" t="s">
        <v>18</v>
      </c>
      <c r="I41" s="135"/>
      <c r="J41" s="110">
        <v>147450</v>
      </c>
      <c r="K41" s="96"/>
      <c r="L41" s="96"/>
      <c r="M41" s="96"/>
      <c r="N41" s="158"/>
      <c r="O41" s="96"/>
      <c r="P41" s="96"/>
    </row>
    <row r="42" spans="3:24" x14ac:dyDescent="0.35">
      <c r="D42" s="38"/>
      <c r="E42" s="25"/>
      <c r="F42" s="25"/>
      <c r="H42" s="112"/>
      <c r="I42" s="113"/>
      <c r="J42" s="113"/>
    </row>
    <row r="43" spans="3:24" ht="18.5" x14ac:dyDescent="0.45">
      <c r="C43" s="41"/>
      <c r="E43" s="25"/>
      <c r="F43" s="25"/>
      <c r="H43" s="104"/>
      <c r="I43" s="105" t="s">
        <v>2</v>
      </c>
      <c r="J43" s="106" t="s">
        <v>6</v>
      </c>
    </row>
    <row r="44" spans="3:24" x14ac:dyDescent="0.35">
      <c r="H44" s="108" t="s">
        <v>17</v>
      </c>
      <c r="I44" s="137">
        <v>0.51519999999999999</v>
      </c>
      <c r="J44" s="117">
        <v>1</v>
      </c>
    </row>
    <row r="45" spans="3:24" ht="16" x14ac:dyDescent="0.4">
      <c r="C45" s="17"/>
      <c r="D45" s="162"/>
    </row>
    <row r="46" spans="3:24" ht="16" x14ac:dyDescent="0.4">
      <c r="C46" s="163"/>
      <c r="D46" s="164"/>
    </row>
    <row r="48" spans="3:24" ht="15.65" customHeight="1" x14ac:dyDescent="0.35">
      <c r="E48" s="25"/>
      <c r="F48" s="25"/>
    </row>
    <row r="49" spans="2:11" ht="15.65" customHeight="1" x14ac:dyDescent="0.35">
      <c r="D49" s="25"/>
      <c r="J49" s="155"/>
    </row>
    <row r="50" spans="2:11" x14ac:dyDescent="0.35">
      <c r="D50" s="25"/>
      <c r="J50" s="155"/>
    </row>
    <row r="51" spans="2:11" ht="19" customHeight="1" x14ac:dyDescent="0.35">
      <c r="D51" s="32"/>
      <c r="J51" s="155"/>
    </row>
    <row r="52" spans="2:11" ht="19" customHeight="1" x14ac:dyDescent="0.35">
      <c r="D52" s="25"/>
      <c r="E52" s="156"/>
      <c r="F52" s="156"/>
      <c r="I52" s="107"/>
      <c r="J52" s="155"/>
      <c r="K52" s="154"/>
    </row>
    <row r="53" spans="2:11" x14ac:dyDescent="0.35">
      <c r="C53" s="149"/>
      <c r="D53" s="151"/>
      <c r="H53" s="107"/>
      <c r="I53" s="107"/>
      <c r="J53" s="155"/>
      <c r="K53" s="23"/>
    </row>
    <row r="54" spans="2:11" x14ac:dyDescent="0.35">
      <c r="C54" s="150"/>
      <c r="D54" s="152"/>
      <c r="E54" s="25"/>
      <c r="F54" s="25"/>
      <c r="I54" s="107"/>
      <c r="J54" s="155"/>
      <c r="K54" s="376"/>
    </row>
    <row r="55" spans="2:11" x14ac:dyDescent="0.35">
      <c r="I55" s="107"/>
      <c r="J55" s="155"/>
      <c r="K55" s="376"/>
    </row>
    <row r="56" spans="2:11" ht="16" x14ac:dyDescent="0.4">
      <c r="B56" s="78"/>
      <c r="D56" s="25"/>
      <c r="I56" s="107"/>
      <c r="J56" s="155"/>
      <c r="K56" s="23"/>
    </row>
    <row r="57" spans="2:11" ht="16" x14ac:dyDescent="0.4">
      <c r="B57" s="66"/>
      <c r="I57" s="107"/>
      <c r="J57" s="155"/>
      <c r="K57" s="25"/>
    </row>
    <row r="58" spans="2:11" x14ac:dyDescent="0.35">
      <c r="C58" s="149"/>
      <c r="D58" s="151"/>
      <c r="I58" s="107"/>
      <c r="J58" s="155"/>
    </row>
    <row r="59" spans="2:11" x14ac:dyDescent="0.35">
      <c r="D59" s="25"/>
      <c r="I59" s="107"/>
      <c r="J59" s="155"/>
    </row>
    <row r="60" spans="2:11" x14ac:dyDescent="0.35">
      <c r="I60" s="107"/>
      <c r="J60" s="155"/>
    </row>
    <row r="61" spans="2:11" x14ac:dyDescent="0.35">
      <c r="D61" s="25"/>
      <c r="J61" s="155"/>
    </row>
    <row r="62" spans="2:11" x14ac:dyDescent="0.35">
      <c r="H62" s="75"/>
      <c r="J62" s="155"/>
    </row>
    <row r="63" spans="2:11" x14ac:dyDescent="0.35">
      <c r="C63" s="149"/>
      <c r="D63" s="151"/>
      <c r="J63" s="155"/>
    </row>
    <row r="64" spans="2:11" x14ac:dyDescent="0.35">
      <c r="D64" s="25"/>
      <c r="J64" s="155"/>
    </row>
    <row r="65" spans="3:10" x14ac:dyDescent="0.35">
      <c r="C65" s="150"/>
      <c r="D65" s="152"/>
      <c r="J65" s="155"/>
    </row>
    <row r="66" spans="3:10" x14ac:dyDescent="0.35">
      <c r="D66" s="25"/>
      <c r="J66" s="155"/>
    </row>
    <row r="67" spans="3:10" x14ac:dyDescent="0.35">
      <c r="J67" s="155"/>
    </row>
  </sheetData>
  <sheetProtection formatColumns="0" formatRows="0" insertRows="0" selectLockedCells="1"/>
  <mergeCells count="1">
    <mergeCell ref="K54:K55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DD114-476A-4F2F-9C2A-DF01F931C936}">
  <dimension ref="B1:X67"/>
  <sheetViews>
    <sheetView showGridLines="0" topLeftCell="A6" zoomScale="90" zoomScaleNormal="90" workbookViewId="0">
      <selection activeCell="E47" sqref="E47"/>
    </sheetView>
  </sheetViews>
  <sheetFormatPr baseColWidth="10" defaultColWidth="11.453125" defaultRowHeight="14.5" x14ac:dyDescent="0.35"/>
  <cols>
    <col min="1" max="1" width="4" style="21" customWidth="1"/>
    <col min="2" max="2" width="9.1796875" style="21" customWidth="1"/>
    <col min="3" max="3" width="50.54296875" style="21" customWidth="1"/>
    <col min="4" max="4" width="22.81640625" style="23" customWidth="1"/>
    <col min="5" max="6" width="7.81640625" style="23" customWidth="1"/>
    <col min="7" max="7" width="3.1796875" style="21" customWidth="1"/>
    <col min="8" max="8" width="15.81640625" style="21" bestFit="1" customWidth="1"/>
    <col min="9" max="9" width="23.54296875" style="21" customWidth="1"/>
    <col min="10" max="10" width="14" style="94" customWidth="1"/>
    <col min="11" max="11" width="23.54296875" style="21" customWidth="1"/>
    <col min="12" max="12" width="17.54296875" style="21" customWidth="1"/>
    <col min="13" max="13" width="17.7265625" style="21" customWidth="1"/>
    <col min="14" max="14" width="23.54296875" style="95" customWidth="1"/>
    <col min="15" max="15" width="11.453125" style="21"/>
    <col min="16" max="16" width="12" style="21" bestFit="1" customWidth="1"/>
    <col min="17" max="17" width="11.453125" style="21"/>
    <col min="18" max="18" width="9.54296875" style="21" customWidth="1"/>
    <col min="19" max="19" width="4.26953125" style="21" customWidth="1"/>
    <col min="20" max="20" width="6.7265625" style="21" customWidth="1"/>
    <col min="21" max="21" width="25.54296875" style="96" customWidth="1"/>
    <col min="22" max="22" width="13.453125" style="96" customWidth="1"/>
    <col min="23" max="23" width="14.54296875" style="96" customWidth="1"/>
    <col min="24" max="24" width="5" style="96" customWidth="1"/>
    <col min="25" max="16384" width="11.453125" style="21"/>
  </cols>
  <sheetData>
    <row r="1" spans="3:24" x14ac:dyDescent="0.35">
      <c r="G1" s="23"/>
    </row>
    <row r="2" spans="3:24" x14ac:dyDescent="0.35">
      <c r="G2" s="23"/>
    </row>
    <row r="3" spans="3:24" x14ac:dyDescent="0.35">
      <c r="G3" s="23"/>
    </row>
    <row r="4" spans="3:24" ht="21" x14ac:dyDescent="0.5">
      <c r="C4" s="39"/>
      <c r="H4" s="39" t="s">
        <v>57</v>
      </c>
      <c r="I4" s="97"/>
      <c r="J4" s="98"/>
      <c r="K4" s="97"/>
      <c r="L4" s="97"/>
      <c r="M4" s="97"/>
      <c r="N4" s="99"/>
      <c r="X4" s="102"/>
    </row>
    <row r="6" spans="3:24" ht="32.5" x14ac:dyDescent="0.45">
      <c r="C6" s="159"/>
      <c r="D6" s="102"/>
      <c r="H6" s="47" t="s">
        <v>21</v>
      </c>
      <c r="I6" s="48" t="s">
        <v>29</v>
      </c>
      <c r="J6" s="49" t="s">
        <v>20</v>
      </c>
      <c r="K6" s="48" t="s">
        <v>24</v>
      </c>
      <c r="L6" s="50" t="s">
        <v>28</v>
      </c>
      <c r="M6" s="49" t="s">
        <v>25</v>
      </c>
      <c r="N6" s="51" t="s">
        <v>26</v>
      </c>
      <c r="X6" s="102"/>
    </row>
    <row r="7" spans="3:24" ht="18" customHeight="1" x14ac:dyDescent="0.4">
      <c r="C7" s="96"/>
      <c r="D7" s="102"/>
      <c r="H7" s="52">
        <f>IF(D11*(1+I38)&gt;J28*(1+I38),J28*(1+I38),D11*(1+I38))</f>
        <v>0</v>
      </c>
      <c r="I7" s="53"/>
      <c r="J7" s="54">
        <f>H7/(1+I38)</f>
        <v>0</v>
      </c>
      <c r="K7" s="53"/>
      <c r="L7" s="55">
        <f>IF(H7=0,0,N7/H7)</f>
        <v>0</v>
      </c>
      <c r="M7" s="54">
        <f>N7</f>
        <v>0</v>
      </c>
      <c r="N7" s="56">
        <f>IF(D11&gt;J28,((J28-J22-J19)*I25)+(J28*I35)+(J28*(1+I38)-J28),IF(D21-D22-D23&lt;=0,D39,IF(AND(D11&lt;=J28,D24&gt;0),D39,0)))</f>
        <v>0</v>
      </c>
      <c r="X7" s="102"/>
    </row>
    <row r="8" spans="3:24" ht="18" customHeight="1" x14ac:dyDescent="0.4">
      <c r="C8" s="160"/>
      <c r="D8" s="161"/>
      <c r="E8" s="25"/>
      <c r="F8" s="25"/>
      <c r="H8" s="57">
        <f>IF($D$11*(1+$I$38)&gt;J29*(1+$I$38),J29*(1+$I$38)-H7,IF(AND($D$11*(1+$I$38)&gt;J28*(1+$I$38),$D$11*(1+$I$38)&lt;=J29*(1+$I$38)),$D$11*(1+$I$38)-H7,0))</f>
        <v>0</v>
      </c>
      <c r="I8" s="58">
        <f>IF(H8=0,0,H7+H8)</f>
        <v>0</v>
      </c>
      <c r="J8" s="58">
        <f>H8/(1+$I$38)</f>
        <v>0</v>
      </c>
      <c r="K8" s="58">
        <f>IF(J8=0,0,J7+J8)</f>
        <v>0</v>
      </c>
      <c r="L8" s="59">
        <f t="shared" ref="L8:L10" si="0">IF(H8=0,0,M8/H8)</f>
        <v>0</v>
      </c>
      <c r="M8" s="58">
        <f t="shared" ref="M8:M10" si="1">IF(N8=0,0,N8-N7)</f>
        <v>0</v>
      </c>
      <c r="N8" s="60">
        <f>IF(D11&gt;J29,(((J29-J22-J19)*I25))+(J29*I35)+((J29*(1+I38))-J29)+((J29-J28)*I28),IF(AND(D21&gt;J28,D21&lt;=J29),((D21-D22-D23)*I25)+(D21*I35)+((D21-J28)*I28)+((D21*(1+I38))-D21),0))</f>
        <v>0</v>
      </c>
      <c r="P8" s="107"/>
      <c r="X8" s="102"/>
    </row>
    <row r="9" spans="3:24" ht="18" customHeight="1" x14ac:dyDescent="0.4">
      <c r="H9" s="57">
        <f>IF(D11*(1+I38)&gt;J30*(1+I38),J30*(1+I38)-H8-H7,IF(AND(D11*(1+I38)&gt;J29+(1*I38),D11*(1+I38)&lt;=J30*(1+I38)),D11*(1+I38)-H8-H7,0))</f>
        <v>0</v>
      </c>
      <c r="I9" s="58">
        <f t="shared" ref="I9" si="2">IF(H9=0,0,I8+H9)</f>
        <v>0</v>
      </c>
      <c r="J9" s="58">
        <f>H9/(1+$I$38)</f>
        <v>0</v>
      </c>
      <c r="K9" s="58">
        <f t="shared" ref="K9" si="3">IF(J9=0,0,K8+J9)</f>
        <v>0</v>
      </c>
      <c r="L9" s="59">
        <f t="shared" si="0"/>
        <v>0</v>
      </c>
      <c r="M9" s="58">
        <f t="shared" si="1"/>
        <v>0</v>
      </c>
      <c r="N9" s="60">
        <f>IF(D11&gt;J30,((((J30-J22-J19)*I25)+(J30*I35)+(J29-J28)*I28)+(J30-J29)*I29)+(J30*(1+I38)-J30),IF(AND(D21&gt;J29,D21&lt;=J30),((D21-D22-D23)*I25)+(D21*I35)+((J29-J28)*I28)+((D21-J29)*I29)+((D21*(1+I38))-D21),0))</f>
        <v>0</v>
      </c>
      <c r="P9" s="111"/>
      <c r="X9" s="102"/>
    </row>
    <row r="10" spans="3:24" ht="18" customHeight="1" x14ac:dyDescent="0.45">
      <c r="C10" s="147" t="s">
        <v>40</v>
      </c>
      <c r="D10" s="148"/>
      <c r="H10" s="57">
        <f>IF(D11*(1+I38)&gt;J31*(1+I38),J31*(1+I38)-H9-H8-H7,IF(AND(D11*(1+I38)&gt;J30+(1*I38),D11*(1+I38)&lt;=J31*(1+I38)),D11*(1+I38)-H9-H8-H7,0))</f>
        <v>0</v>
      </c>
      <c r="I10" s="58">
        <f>IF(H10&lt;=0.00001,0,I9+H10)</f>
        <v>0</v>
      </c>
      <c r="J10" s="58">
        <f>H10/(1+$I$38)</f>
        <v>0</v>
      </c>
      <c r="K10" s="58">
        <f>IF(J10&lt;=0.0001,0,K9+J10)</f>
        <v>0</v>
      </c>
      <c r="L10" s="59">
        <f t="shared" si="0"/>
        <v>0</v>
      </c>
      <c r="M10" s="58">
        <f t="shared" si="1"/>
        <v>0</v>
      </c>
      <c r="N10" s="60">
        <f>IF(D11&gt;J31,(J31-J22-J19)*I25+(J31*I35)+(J29-J28)*I28+(J30-J29)*I29+(J31-J30)*I30+(J31*(1+I38)-J31),IF(AND(D21&gt;J30,D21&lt;=J31),((D21-D22-D23)*I25)+(D21*I35)+(J29-J28)*I28+(J30-J29)*I29+(D21-J30)*I30+(D21*(1+I38)-D21),0))</f>
        <v>0</v>
      </c>
      <c r="X10" s="102"/>
    </row>
    <row r="11" spans="3:24" ht="18" customHeight="1" thickBot="1" x14ac:dyDescent="0.45">
      <c r="C11" s="17" t="s">
        <v>48</v>
      </c>
      <c r="D11" s="144">
        <f>'Skattefritt utbytte'!D44</f>
        <v>0</v>
      </c>
      <c r="E11" s="25"/>
      <c r="F11" s="25"/>
      <c r="H11" s="57">
        <f>IF(D11*(1+I38)&gt;J32*(1+I38),J32*(1+I38)-H10-H9-H8-H7,IF(AND(D11*(1+I38)&gt;J31+(1*I38),D11*(1+I38)&lt;=J32*(1+I38)),D11*(1+I38)-H10-H9-H8-H7,0))</f>
        <v>0</v>
      </c>
      <c r="I11" s="58">
        <f>IF(H11&lt;=0.0001,0,I10+H11)</f>
        <v>0</v>
      </c>
      <c r="J11" s="58">
        <f>H11/(1+$I$38)</f>
        <v>0</v>
      </c>
      <c r="K11" s="58">
        <f>IF(J11&lt;=0.0001,0,K10+J11)</f>
        <v>0</v>
      </c>
      <c r="L11" s="59">
        <f>IF(H11=0,0,M11/H11)</f>
        <v>0</v>
      </c>
      <c r="M11" s="58">
        <f>IF(N11=0,0,N11-N10)</f>
        <v>0</v>
      </c>
      <c r="N11" s="60">
        <f>IF(D11&gt;J32,(J32-J22-J19)*I25+(J32*I35)+(J29-J28)*I28+(J30-J29)*I29+(J31-J30)*I30+(J32-J31)*I31+(J38*I38)+(J32-J38)*I38,IF(AND(D21&gt;J31,D21&lt;=J32),((D21-D22-D23)*I25)+(D21*I35)+(J29-J28)*I28+(J30-J29)*I29+(J31-J30)*I30+(D21-J31)*I31+(J38*I38)+(D21-J38)*I38,0))</f>
        <v>0</v>
      </c>
      <c r="P11" s="107"/>
      <c r="X11" s="114"/>
    </row>
    <row r="12" spans="3:24" ht="18" customHeight="1" x14ac:dyDescent="0.4">
      <c r="C12" s="29"/>
      <c r="D12" s="30"/>
      <c r="H12" s="61">
        <f>IF((D11-J38)*(1+I38)+J38*(1+I38)&gt;(J32-J38)*(1+I38)+J38*(1+I38),(D11-J38)*(1+I38)+J38*(1+I38)-H11-H10-H9-H8-H7,0)</f>
        <v>0</v>
      </c>
      <c r="I12" s="62">
        <f>IF(H12=0,0,I11+H12)</f>
        <v>0</v>
      </c>
      <c r="J12" s="62">
        <f>H12/(1+$I$38)</f>
        <v>0</v>
      </c>
      <c r="K12" s="62">
        <f>IF(J12=0,0,K11+J12)</f>
        <v>0</v>
      </c>
      <c r="L12" s="63">
        <f>IF(H12=0,0,M12/H12)</f>
        <v>0</v>
      </c>
      <c r="M12" s="62">
        <f>IF(N12=0,0,N12-N11)</f>
        <v>0</v>
      </c>
      <c r="N12" s="64">
        <f>IF(D11&gt;J32,((D21-D22-D23)*I25+(I35*D21)+(J29-J28)*I28+(J30-J29)*I29+(J31-J30)*I30+(J32-J31)*I31+(D21-J32)*I32)+(J38*(1+I38)-J38)+(D21-J38)*(1+I38)-(D21-J38),0)</f>
        <v>0</v>
      </c>
      <c r="P12" s="115"/>
      <c r="X12" s="114"/>
    </row>
    <row r="13" spans="3:24" ht="18" customHeight="1" x14ac:dyDescent="0.45">
      <c r="C13" s="165"/>
      <c r="E13" s="25"/>
      <c r="F13" s="25"/>
      <c r="X13" s="102"/>
    </row>
    <row r="14" spans="3:24" ht="18" customHeight="1" x14ac:dyDescent="0.35">
      <c r="C14" s="40"/>
      <c r="D14" s="166"/>
      <c r="E14" s="25"/>
      <c r="F14" s="25"/>
      <c r="G14" s="107"/>
      <c r="X14" s="102"/>
    </row>
    <row r="15" spans="3:24" ht="17.25" customHeight="1" x14ac:dyDescent="0.5">
      <c r="H15" s="100" t="s">
        <v>27</v>
      </c>
      <c r="I15" s="101"/>
      <c r="J15" s="101"/>
      <c r="X15" s="102"/>
    </row>
    <row r="16" spans="3:24" ht="16.5" customHeight="1" x14ac:dyDescent="0.4">
      <c r="C16" s="26"/>
      <c r="D16" s="27"/>
      <c r="H16" s="96"/>
      <c r="I16" s="96"/>
      <c r="J16" s="96"/>
      <c r="X16" s="102"/>
    </row>
    <row r="17" spans="3:24" ht="16" x14ac:dyDescent="0.4">
      <c r="C17" s="26"/>
      <c r="D17" s="28"/>
      <c r="H17" s="103"/>
      <c r="I17" s="101"/>
      <c r="J17" s="101"/>
      <c r="X17" s="102"/>
    </row>
    <row r="18" spans="3:24" ht="21" x14ac:dyDescent="0.5">
      <c r="C18" s="39" t="s">
        <v>62</v>
      </c>
      <c r="G18" s="23"/>
      <c r="H18" s="104"/>
      <c r="I18" s="105"/>
      <c r="J18" s="106" t="s">
        <v>4</v>
      </c>
      <c r="X18" s="102"/>
    </row>
    <row r="19" spans="3:24" x14ac:dyDescent="0.35">
      <c r="G19" s="23"/>
      <c r="H19" s="108" t="s">
        <v>16</v>
      </c>
      <c r="I19" s="109"/>
      <c r="J19" s="110">
        <v>114540</v>
      </c>
      <c r="X19" s="102"/>
    </row>
    <row r="20" spans="3:24" ht="14.25" customHeight="1" x14ac:dyDescent="0.4">
      <c r="C20" s="19" t="s">
        <v>50</v>
      </c>
      <c r="D20" s="31" t="s">
        <v>4</v>
      </c>
      <c r="G20" s="34"/>
      <c r="H20" s="112"/>
      <c r="I20" s="113"/>
      <c r="J20" s="113"/>
      <c r="K20" s="157"/>
      <c r="L20" s="157"/>
      <c r="M20" s="157"/>
      <c r="N20" s="157"/>
      <c r="O20" s="157"/>
      <c r="P20" s="157"/>
      <c r="X20" s="102"/>
    </row>
    <row r="21" spans="3:24" ht="16" x14ac:dyDescent="0.4">
      <c r="C21" s="17" t="s">
        <v>40</v>
      </c>
      <c r="D21" s="25">
        <f>D11</f>
        <v>0</v>
      </c>
      <c r="G21" s="123"/>
      <c r="H21" s="104"/>
      <c r="I21" s="105" t="s">
        <v>2</v>
      </c>
      <c r="J21" s="106" t="s">
        <v>3</v>
      </c>
      <c r="K21" s="128"/>
      <c r="L21" s="128"/>
      <c r="M21" s="128"/>
      <c r="N21" s="128"/>
      <c r="O21" s="128"/>
      <c r="P21" s="128"/>
      <c r="X21" s="102"/>
    </row>
    <row r="22" spans="3:24" ht="16" x14ac:dyDescent="0.4">
      <c r="C22" s="17" t="s">
        <v>1</v>
      </c>
      <c r="D22" s="25">
        <f>IF(D21*I22&gt;=J22,J22,D21*I22)</f>
        <v>0</v>
      </c>
      <c r="E22" s="32"/>
      <c r="F22" s="32"/>
      <c r="G22" s="23"/>
      <c r="H22" s="108" t="s">
        <v>1</v>
      </c>
      <c r="I22" s="109">
        <v>0.46</v>
      </c>
      <c r="J22" s="110">
        <v>95700</v>
      </c>
      <c r="K22" s="128"/>
      <c r="L22" s="128"/>
      <c r="M22" s="128"/>
      <c r="N22" s="128"/>
      <c r="O22" s="128"/>
      <c r="P22" s="128"/>
      <c r="X22" s="102"/>
    </row>
    <row r="23" spans="3:24" ht="16" x14ac:dyDescent="0.4">
      <c r="C23" s="18" t="s">
        <v>16</v>
      </c>
      <c r="D23" s="35">
        <f>IF(D11=0,0,J19)</f>
        <v>0</v>
      </c>
      <c r="G23" s="23"/>
      <c r="H23" s="112"/>
      <c r="I23" s="113"/>
      <c r="J23" s="113"/>
      <c r="K23" s="128"/>
      <c r="L23" s="128"/>
      <c r="M23" s="128"/>
      <c r="N23" s="128"/>
      <c r="O23" s="128"/>
      <c r="P23" s="128"/>
      <c r="X23" s="102"/>
    </row>
    <row r="24" spans="3:24" ht="16" customHeight="1" thickBot="1" x14ac:dyDescent="0.45">
      <c r="C24" s="77" t="s">
        <v>51</v>
      </c>
      <c r="D24" s="76">
        <f>IF(D21-D22-D23&lt;=0,0,D21-D22-D23)</f>
        <v>0</v>
      </c>
      <c r="G24" s="127"/>
      <c r="H24" s="104"/>
      <c r="I24" s="105" t="s">
        <v>2</v>
      </c>
      <c r="J24" s="116"/>
      <c r="K24" s="128"/>
      <c r="L24" s="128"/>
      <c r="M24" s="128"/>
      <c r="N24" s="128"/>
      <c r="O24" s="128"/>
      <c r="P24" s="128"/>
      <c r="X24" s="102"/>
    </row>
    <row r="25" spans="3:24" x14ac:dyDescent="0.35">
      <c r="D25" s="25"/>
      <c r="E25" s="34"/>
      <c r="F25" s="34"/>
      <c r="G25" s="23"/>
      <c r="H25" s="108" t="s">
        <v>7</v>
      </c>
      <c r="I25" s="109">
        <v>0.22</v>
      </c>
      <c r="J25" s="117"/>
      <c r="K25" s="128"/>
      <c r="L25" s="128"/>
      <c r="M25" s="128"/>
      <c r="N25" s="128"/>
      <c r="O25" s="128"/>
      <c r="P25" s="128"/>
      <c r="X25" s="102"/>
    </row>
    <row r="26" spans="3:24" ht="16" x14ac:dyDescent="0.4">
      <c r="C26" s="19" t="s">
        <v>52</v>
      </c>
      <c r="D26" s="42">
        <f>IF(D21&lt;J41,0,(D24)*I25)</f>
        <v>0</v>
      </c>
      <c r="E26" s="34"/>
      <c r="F26" s="34"/>
      <c r="G26" s="23"/>
      <c r="H26" s="112"/>
      <c r="I26" s="113"/>
      <c r="J26" s="113"/>
      <c r="K26" s="128"/>
      <c r="L26" s="128"/>
      <c r="M26" s="128"/>
      <c r="N26" s="128"/>
      <c r="O26" s="128"/>
      <c r="P26" s="128"/>
      <c r="X26" s="102"/>
    </row>
    <row r="27" spans="3:24" x14ac:dyDescent="0.35">
      <c r="E27" s="34"/>
      <c r="F27" s="34"/>
      <c r="G27" s="23"/>
      <c r="H27" s="104"/>
      <c r="I27" s="105" t="s">
        <v>2</v>
      </c>
      <c r="J27" s="106" t="s">
        <v>6</v>
      </c>
      <c r="K27" s="128"/>
      <c r="L27" s="128"/>
      <c r="M27" s="128"/>
      <c r="N27" s="128"/>
      <c r="O27" s="128"/>
      <c r="P27" s="128"/>
      <c r="X27" s="102"/>
    </row>
    <row r="28" spans="3:24" ht="16" x14ac:dyDescent="0.4">
      <c r="C28" s="19" t="s">
        <v>54</v>
      </c>
      <c r="D28" s="33"/>
      <c r="E28" s="34"/>
      <c r="F28" s="34"/>
      <c r="G28" s="23"/>
      <c r="H28" s="118" t="s">
        <v>5</v>
      </c>
      <c r="I28" s="119">
        <v>1.7000000000000001E-2</v>
      </c>
      <c r="J28" s="120">
        <v>226100</v>
      </c>
      <c r="K28" s="128"/>
      <c r="L28" s="128"/>
      <c r="M28" s="128"/>
      <c r="N28" s="128"/>
      <c r="O28" s="128"/>
      <c r="P28" s="128"/>
      <c r="X28" s="102"/>
    </row>
    <row r="29" spans="3:24" ht="16" x14ac:dyDescent="0.4">
      <c r="C29" s="17" t="s">
        <v>5</v>
      </c>
      <c r="D29" s="25">
        <f>IF(D21&lt;J28,0,IF(AND(D21&gt;=J28,D21&lt;=J29),D21-J28,IF(D21&gt;J29,J29-J28,0)))*I28</f>
        <v>0</v>
      </c>
      <c r="E29" s="34"/>
      <c r="F29" s="34"/>
      <c r="G29" s="23"/>
      <c r="H29" s="118" t="s">
        <v>8</v>
      </c>
      <c r="I29" s="119">
        <v>0.04</v>
      </c>
      <c r="J29" s="120">
        <v>318300</v>
      </c>
      <c r="K29" s="128"/>
      <c r="L29" s="128"/>
      <c r="M29" s="128"/>
      <c r="N29" s="128"/>
      <c r="O29" s="128"/>
      <c r="P29" s="128"/>
      <c r="X29" s="102"/>
    </row>
    <row r="30" spans="3:24" ht="16" customHeight="1" x14ac:dyDescent="0.4">
      <c r="C30" s="17" t="s">
        <v>8</v>
      </c>
      <c r="D30" s="25">
        <f>IF(D21&lt;J29,0,IF(AND(D21&gt;J29,D21&lt;=J30),D21-J29,IF(D21&gt;J30,J30-J29,0)))*I29</f>
        <v>0</v>
      </c>
      <c r="E30" s="34"/>
      <c r="F30" s="34"/>
      <c r="G30" s="23"/>
      <c r="H30" s="118" t="s">
        <v>9</v>
      </c>
      <c r="I30" s="119">
        <v>0.13700000000000001</v>
      </c>
      <c r="J30" s="120">
        <v>725050</v>
      </c>
      <c r="K30" s="128"/>
      <c r="L30" s="128"/>
      <c r="M30" s="128"/>
      <c r="N30" s="128"/>
      <c r="O30" s="128"/>
      <c r="P30" s="128"/>
      <c r="X30" s="102"/>
    </row>
    <row r="31" spans="3:24" ht="16" customHeight="1" x14ac:dyDescent="0.4">
      <c r="C31" s="17" t="s">
        <v>9</v>
      </c>
      <c r="D31" s="25">
        <f>IF($D$21&lt;J30,0,IF(AND($D$21&gt;J30,$D$21&lt;=J31),$D$21-J30,IF($D$21&gt;J31,J31-J30,0)))*I30</f>
        <v>0</v>
      </c>
      <c r="G31" s="23"/>
      <c r="H31" s="118" t="s">
        <v>10</v>
      </c>
      <c r="I31" s="119">
        <v>0.16800000000000001</v>
      </c>
      <c r="J31" s="120">
        <v>980100</v>
      </c>
      <c r="K31" s="128"/>
      <c r="L31" s="128"/>
      <c r="M31" s="128"/>
      <c r="N31" s="128"/>
      <c r="O31" s="128"/>
      <c r="P31" s="128"/>
      <c r="X31" s="102"/>
    </row>
    <row r="32" spans="3:24" ht="16" customHeight="1" x14ac:dyDescent="0.4">
      <c r="C32" s="17" t="s">
        <v>10</v>
      </c>
      <c r="D32" s="25">
        <f>IF($D$21&lt;J31,0,IF(AND($D$21&gt;J31,$D$21&lt;=J32),$D$21-J31,IF($D$21&gt;J32,J32-J31,0)))*I31</f>
        <v>0</v>
      </c>
      <c r="E32" s="34"/>
      <c r="F32" s="34"/>
      <c r="H32" s="108" t="s">
        <v>11</v>
      </c>
      <c r="I32" s="125">
        <v>0.17799999999999999</v>
      </c>
      <c r="J32" s="110">
        <v>1467200</v>
      </c>
      <c r="K32" s="128"/>
      <c r="L32" s="128"/>
      <c r="M32" s="128"/>
      <c r="N32" s="128"/>
      <c r="O32" s="128"/>
      <c r="P32" s="128"/>
      <c r="X32" s="102"/>
    </row>
    <row r="33" spans="3:24" ht="16.5" customHeight="1" x14ac:dyDescent="0.4">
      <c r="C33" s="18" t="s">
        <v>11</v>
      </c>
      <c r="D33" s="35">
        <f>IF(D21&lt;J32,0,(D21-J32))*I32</f>
        <v>0</v>
      </c>
      <c r="H33" s="112"/>
      <c r="I33" s="113"/>
      <c r="J33" s="113"/>
      <c r="K33" s="128"/>
      <c r="L33" s="128"/>
      <c r="M33" s="128"/>
      <c r="N33" s="128"/>
      <c r="O33" s="128"/>
      <c r="P33" s="128"/>
      <c r="X33" s="102"/>
    </row>
    <row r="34" spans="3:24" ht="16.5" customHeight="1" thickBot="1" x14ac:dyDescent="0.45">
      <c r="C34" s="77" t="s">
        <v>53</v>
      </c>
      <c r="D34" s="76">
        <f>SUM(D29:D33)</f>
        <v>0</v>
      </c>
      <c r="E34" s="36"/>
      <c r="F34" s="36"/>
      <c r="H34" s="104"/>
      <c r="I34" s="105" t="s">
        <v>13</v>
      </c>
      <c r="J34" s="106" t="s">
        <v>14</v>
      </c>
      <c r="K34" s="128"/>
      <c r="L34" s="128"/>
      <c r="M34" s="128"/>
      <c r="N34" s="128"/>
      <c r="O34" s="128"/>
      <c r="P34" s="128"/>
      <c r="X34" s="102"/>
    </row>
    <row r="35" spans="3:24" ht="16.5" customHeight="1" x14ac:dyDescent="0.35">
      <c r="E35" s="37"/>
      <c r="F35" s="37"/>
      <c r="H35" s="108" t="s">
        <v>12</v>
      </c>
      <c r="I35" s="125">
        <v>7.5999999999999998E-2</v>
      </c>
      <c r="J35" s="110">
        <v>99650</v>
      </c>
      <c r="K35" s="128"/>
      <c r="L35" s="128"/>
      <c r="M35" s="128"/>
      <c r="N35" s="128"/>
      <c r="O35" s="128"/>
      <c r="P35" s="128"/>
      <c r="X35" s="102"/>
    </row>
    <row r="36" spans="3:24" ht="16" x14ac:dyDescent="0.4">
      <c r="C36" s="45" t="s">
        <v>58</v>
      </c>
      <c r="D36" s="46">
        <f>D26+D34</f>
        <v>0</v>
      </c>
      <c r="E36" s="37"/>
      <c r="F36" s="37"/>
      <c r="H36" s="112"/>
      <c r="I36" s="113"/>
      <c r="J36" s="113"/>
      <c r="K36" s="128"/>
      <c r="L36" s="128"/>
      <c r="M36" s="128"/>
      <c r="N36" s="128"/>
      <c r="O36" s="128"/>
      <c r="P36" s="128"/>
      <c r="X36" s="102"/>
    </row>
    <row r="37" spans="3:24" ht="17.25" customHeight="1" x14ac:dyDescent="0.4">
      <c r="C37" s="17" t="s">
        <v>12</v>
      </c>
      <c r="D37" s="25">
        <f>IF(D21&lt;J35,0,IF((D21-J35)*0.25&lt;(D21*I35),(D21-J35)*0.25,D21*I35))</f>
        <v>0</v>
      </c>
      <c r="E37" s="36"/>
      <c r="F37" s="36"/>
      <c r="H37" s="104"/>
      <c r="I37" s="105" t="s">
        <v>2</v>
      </c>
      <c r="J37" s="106" t="s">
        <v>6</v>
      </c>
      <c r="K37" s="128"/>
      <c r="L37" s="128"/>
      <c r="M37" s="128"/>
      <c r="N37" s="128"/>
      <c r="O37" s="128"/>
      <c r="P37" s="128"/>
      <c r="V37" s="102"/>
      <c r="W37" s="102"/>
      <c r="X37" s="102"/>
    </row>
    <row r="38" spans="3:24" ht="17.25" customHeight="1" x14ac:dyDescent="0.4">
      <c r="C38" s="43" t="s">
        <v>46</v>
      </c>
      <c r="D38" s="44">
        <f>D11*(1+I38)-D11</f>
        <v>0</v>
      </c>
      <c r="E38" s="37"/>
      <c r="F38" s="37"/>
      <c r="H38" s="129" t="s">
        <v>15</v>
      </c>
      <c r="I38" s="125" cm="1">
        <f t="array" ref="I38">INDEX('Diagram marginalskatt'!B31:B36,MATCH('Lønn eller utbytte'!G11,'Diagram marginalskatt'!A31:A36,0),)</f>
        <v>0.14099999999999999</v>
      </c>
      <c r="J38" s="117">
        <v>1</v>
      </c>
      <c r="K38" s="128"/>
      <c r="L38" s="128"/>
      <c r="M38" s="128"/>
      <c r="N38" s="128"/>
      <c r="O38" s="128"/>
      <c r="P38" s="128"/>
    </row>
    <row r="39" spans="3:24" ht="17.25" customHeight="1" x14ac:dyDescent="0.4">
      <c r="C39" s="20" t="s">
        <v>55</v>
      </c>
      <c r="D39" s="74">
        <f>SUM(D36:D38)</f>
        <v>0</v>
      </c>
      <c r="E39" s="36"/>
      <c r="F39" s="36"/>
      <c r="H39" s="130"/>
      <c r="I39" s="119"/>
      <c r="J39" s="131"/>
      <c r="K39" s="128"/>
      <c r="L39" s="128"/>
      <c r="M39" s="128"/>
      <c r="N39" s="128"/>
      <c r="O39" s="128"/>
      <c r="P39" s="128"/>
    </row>
    <row r="40" spans="3:24" ht="16.5" customHeight="1" x14ac:dyDescent="0.35">
      <c r="H40" s="104"/>
      <c r="I40" s="132"/>
      <c r="J40" s="106" t="s">
        <v>14</v>
      </c>
      <c r="K40" s="128"/>
      <c r="L40" s="128"/>
      <c r="M40" s="128"/>
      <c r="N40" s="128"/>
      <c r="O40" s="128"/>
      <c r="P40" s="128"/>
    </row>
    <row r="41" spans="3:24" x14ac:dyDescent="0.35">
      <c r="E41" s="34"/>
      <c r="F41" s="34"/>
      <c r="H41" s="108" t="s">
        <v>18</v>
      </c>
      <c r="I41" s="135"/>
      <c r="J41" s="110">
        <v>147450</v>
      </c>
      <c r="K41" s="96"/>
      <c r="L41" s="96"/>
      <c r="M41" s="96"/>
      <c r="N41" s="158"/>
      <c r="O41" s="96"/>
      <c r="P41" s="96"/>
    </row>
    <row r="42" spans="3:24" x14ac:dyDescent="0.35">
      <c r="D42" s="38"/>
      <c r="E42" s="25"/>
      <c r="F42" s="25"/>
      <c r="H42" s="112"/>
      <c r="I42" s="113"/>
      <c r="J42" s="113"/>
    </row>
    <row r="43" spans="3:24" ht="18.5" x14ac:dyDescent="0.45">
      <c r="C43" s="41"/>
      <c r="E43" s="25"/>
      <c r="F43" s="25"/>
      <c r="H43" s="104"/>
      <c r="I43" s="105" t="s">
        <v>2</v>
      </c>
      <c r="J43" s="106" t="s">
        <v>6</v>
      </c>
    </row>
    <row r="44" spans="3:24" x14ac:dyDescent="0.35">
      <c r="H44" s="108" t="s">
        <v>17</v>
      </c>
      <c r="I44" s="137">
        <v>0.51519999999999999</v>
      </c>
      <c r="J44" s="117">
        <v>1</v>
      </c>
    </row>
    <row r="45" spans="3:24" ht="16" x14ac:dyDescent="0.4">
      <c r="C45" s="17"/>
      <c r="D45" s="162"/>
    </row>
    <row r="46" spans="3:24" ht="16" x14ac:dyDescent="0.4">
      <c r="C46" s="163"/>
      <c r="D46" s="164"/>
    </row>
    <row r="48" spans="3:24" ht="15.65" customHeight="1" x14ac:dyDescent="0.35">
      <c r="E48" s="25"/>
      <c r="F48" s="25"/>
    </row>
    <row r="49" spans="2:11" ht="15.65" customHeight="1" x14ac:dyDescent="0.35">
      <c r="D49" s="25"/>
      <c r="J49" s="155"/>
    </row>
    <row r="50" spans="2:11" x14ac:dyDescent="0.35">
      <c r="D50" s="25"/>
      <c r="J50" s="155"/>
    </row>
    <row r="51" spans="2:11" ht="19" customHeight="1" x14ac:dyDescent="0.35">
      <c r="D51" s="32"/>
      <c r="J51" s="155"/>
    </row>
    <row r="52" spans="2:11" ht="19" customHeight="1" x14ac:dyDescent="0.35">
      <c r="D52" s="25"/>
      <c r="E52" s="156"/>
      <c r="F52" s="156"/>
      <c r="I52" s="107"/>
      <c r="J52" s="155"/>
      <c r="K52" s="154"/>
    </row>
    <row r="53" spans="2:11" x14ac:dyDescent="0.35">
      <c r="C53" s="149"/>
      <c r="D53" s="151"/>
      <c r="H53" s="107"/>
      <c r="I53" s="107"/>
      <c r="J53" s="155"/>
      <c r="K53" s="23"/>
    </row>
    <row r="54" spans="2:11" x14ac:dyDescent="0.35">
      <c r="C54" s="150"/>
      <c r="D54" s="152"/>
      <c r="E54" s="25"/>
      <c r="F54" s="25"/>
      <c r="I54" s="107"/>
      <c r="J54" s="155"/>
      <c r="K54" s="376"/>
    </row>
    <row r="55" spans="2:11" x14ac:dyDescent="0.35">
      <c r="I55" s="107"/>
      <c r="J55" s="155"/>
      <c r="K55" s="376"/>
    </row>
    <row r="56" spans="2:11" ht="16" x14ac:dyDescent="0.4">
      <c r="B56" s="78"/>
      <c r="D56" s="25"/>
      <c r="I56" s="107"/>
      <c r="J56" s="155"/>
      <c r="K56" s="23"/>
    </row>
    <row r="57" spans="2:11" ht="16" x14ac:dyDescent="0.4">
      <c r="B57" s="66"/>
      <c r="I57" s="107"/>
      <c r="J57" s="155"/>
      <c r="K57" s="25"/>
    </row>
    <row r="58" spans="2:11" x14ac:dyDescent="0.35">
      <c r="C58" s="149"/>
      <c r="D58" s="151"/>
      <c r="I58" s="107"/>
      <c r="J58" s="155"/>
    </row>
    <row r="59" spans="2:11" x14ac:dyDescent="0.35">
      <c r="D59" s="25"/>
      <c r="I59" s="107"/>
      <c r="J59" s="155"/>
    </row>
    <row r="60" spans="2:11" x14ac:dyDescent="0.35">
      <c r="I60" s="107"/>
      <c r="J60" s="155"/>
    </row>
    <row r="61" spans="2:11" x14ac:dyDescent="0.35">
      <c r="D61" s="25"/>
      <c r="J61" s="155"/>
    </row>
    <row r="62" spans="2:11" x14ac:dyDescent="0.35">
      <c r="H62" s="75"/>
      <c r="J62" s="155"/>
    </row>
    <row r="63" spans="2:11" x14ac:dyDescent="0.35">
      <c r="C63" s="149"/>
      <c r="D63" s="151"/>
      <c r="J63" s="155"/>
    </row>
    <row r="64" spans="2:11" x14ac:dyDescent="0.35">
      <c r="D64" s="25"/>
      <c r="J64" s="155"/>
    </row>
    <row r="65" spans="3:10" x14ac:dyDescent="0.35">
      <c r="C65" s="150"/>
      <c r="D65" s="152"/>
      <c r="J65" s="155"/>
    </row>
    <row r="66" spans="3:10" x14ac:dyDescent="0.35">
      <c r="D66" s="25"/>
      <c r="J66" s="155"/>
    </row>
    <row r="67" spans="3:10" x14ac:dyDescent="0.35">
      <c r="J67" s="155"/>
    </row>
  </sheetData>
  <sheetProtection formatColumns="0" formatRows="0" insertRows="0" selectLockedCells="1"/>
  <mergeCells count="1">
    <mergeCell ref="K54:K55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FD655-41FB-4C7B-A274-A3DC617E8592}">
  <dimension ref="B1:X67"/>
  <sheetViews>
    <sheetView showGridLines="0" topLeftCell="A11" zoomScale="90" zoomScaleNormal="90" workbookViewId="0">
      <selection activeCell="D51" sqref="D51"/>
    </sheetView>
  </sheetViews>
  <sheetFormatPr baseColWidth="10" defaultColWidth="11.453125" defaultRowHeight="14.5" x14ac:dyDescent="0.35"/>
  <cols>
    <col min="1" max="1" width="4" style="21" customWidth="1"/>
    <col min="2" max="2" width="9.1796875" style="21" customWidth="1"/>
    <col min="3" max="3" width="50.54296875" style="21" customWidth="1"/>
    <col min="4" max="4" width="22.81640625" style="23" customWidth="1"/>
    <col min="5" max="6" width="7.81640625" style="23" customWidth="1"/>
    <col min="7" max="7" width="3.1796875" style="21" customWidth="1"/>
    <col min="8" max="8" width="15.81640625" style="21" bestFit="1" customWidth="1"/>
    <col min="9" max="9" width="23.54296875" style="21" customWidth="1"/>
    <col min="10" max="10" width="14" style="94" customWidth="1"/>
    <col min="11" max="11" width="23.54296875" style="21" customWidth="1"/>
    <col min="12" max="12" width="17.54296875" style="21" customWidth="1"/>
    <col min="13" max="13" width="17.7265625" style="21" customWidth="1"/>
    <col min="14" max="14" width="23.54296875" style="95" customWidth="1"/>
    <col min="15" max="15" width="11.453125" style="21"/>
    <col min="16" max="16" width="12" style="21" bestFit="1" customWidth="1"/>
    <col min="17" max="17" width="11.453125" style="21"/>
    <col min="18" max="18" width="9.54296875" style="21" customWidth="1"/>
    <col min="19" max="19" width="4.26953125" style="21" customWidth="1"/>
    <col min="20" max="20" width="6.7265625" style="21" customWidth="1"/>
    <col min="21" max="21" width="25.54296875" style="96" customWidth="1"/>
    <col min="22" max="22" width="13.453125" style="96" customWidth="1"/>
    <col min="23" max="23" width="14.54296875" style="96" customWidth="1"/>
    <col min="24" max="24" width="5" style="96" customWidth="1"/>
    <col min="25" max="16384" width="11.453125" style="21"/>
  </cols>
  <sheetData>
    <row r="1" spans="3:24" x14ac:dyDescent="0.35">
      <c r="G1" s="23"/>
    </row>
    <row r="2" spans="3:24" x14ac:dyDescent="0.35">
      <c r="G2" s="23"/>
    </row>
    <row r="3" spans="3:24" x14ac:dyDescent="0.35">
      <c r="G3" s="23"/>
    </row>
    <row r="4" spans="3:24" ht="21" x14ac:dyDescent="0.5">
      <c r="C4" s="39"/>
      <c r="H4" s="39" t="s">
        <v>57</v>
      </c>
      <c r="I4" s="97"/>
      <c r="J4" s="98"/>
      <c r="K4" s="97"/>
      <c r="L4" s="97"/>
      <c r="M4" s="97"/>
      <c r="N4" s="99"/>
      <c r="X4" s="102"/>
    </row>
    <row r="6" spans="3:24" ht="32.5" x14ac:dyDescent="0.45">
      <c r="C6" s="159"/>
      <c r="D6" s="102"/>
      <c r="H6" s="47" t="s">
        <v>21</v>
      </c>
      <c r="I6" s="48" t="s">
        <v>29</v>
      </c>
      <c r="J6" s="49" t="s">
        <v>20</v>
      </c>
      <c r="K6" s="48" t="s">
        <v>24</v>
      </c>
      <c r="L6" s="50" t="s">
        <v>28</v>
      </c>
      <c r="M6" s="49" t="s">
        <v>25</v>
      </c>
      <c r="N6" s="51" t="s">
        <v>26</v>
      </c>
      <c r="X6" s="102"/>
    </row>
    <row r="7" spans="3:24" ht="18" customHeight="1" x14ac:dyDescent="0.4">
      <c r="C7" s="96"/>
      <c r="D7" s="102"/>
      <c r="H7" s="52">
        <f>IF(D11*(1+I38)&gt;J28*(1+I38),J28*(1+I38),D11*(1+I38))</f>
        <v>0</v>
      </c>
      <c r="I7" s="53"/>
      <c r="J7" s="54">
        <f>H7/(1+I38)</f>
        <v>0</v>
      </c>
      <c r="K7" s="53"/>
      <c r="L7" s="55">
        <f>IF(H7=0,0,N7/H7)</f>
        <v>0</v>
      </c>
      <c r="M7" s="54">
        <f>N7</f>
        <v>0</v>
      </c>
      <c r="N7" s="56">
        <f>IF(D11&gt;J28,((J28-J22-J19)*I25)+(J28*I35)+(J28*(1+I38)-J28),IF(D21-D22-D23&lt;=0,D39,IF(AND(D11&lt;=J28,D24&gt;0),D39,0)))</f>
        <v>0</v>
      </c>
      <c r="X7" s="102"/>
    </row>
    <row r="8" spans="3:24" ht="18" customHeight="1" x14ac:dyDescent="0.4">
      <c r="C8" s="160"/>
      <c r="D8" s="161"/>
      <c r="E8" s="25"/>
      <c r="F8" s="25"/>
      <c r="H8" s="57">
        <f>IF($D$11*(1+$I$38)&gt;J29*(1+$I$38),J29*(1+$I$38)-H7,IF(AND($D$11*(1+$I$38)&gt;J28*(1+$I$38),$D$11*(1+$I$38)&lt;=J29*(1+$I$38)),$D$11*(1+$I$38)-H7,0))</f>
        <v>0</v>
      </c>
      <c r="I8" s="58">
        <f>IF(H8=0,0,H7+H8)</f>
        <v>0</v>
      </c>
      <c r="J8" s="58">
        <f>H8/(1+$I$38)</f>
        <v>0</v>
      </c>
      <c r="K8" s="58">
        <f>IF(J8=0,0,J7+J8)</f>
        <v>0</v>
      </c>
      <c r="L8" s="59">
        <f t="shared" ref="L8:L10" si="0">IF(H8=0,0,M8/H8)</f>
        <v>0</v>
      </c>
      <c r="M8" s="58">
        <f t="shared" ref="M8:M10" si="1">IF(N8=0,0,N8-N7)</f>
        <v>0</v>
      </c>
      <c r="N8" s="60">
        <f>IF(D11&gt;J29,(((J29-J22-J19)*I25))+(J29*I35)+((J29*(1+I38))-J29)+((J29-J28)*I28),IF(AND(D21&gt;J28,D21&lt;=J29),((D21-D22-D23)*I25)+(D21*I35)+((D21-J28)*I28)+((D21*(1+I38))-D21),0))</f>
        <v>0</v>
      </c>
      <c r="P8" s="107"/>
      <c r="X8" s="102"/>
    </row>
    <row r="9" spans="3:24" ht="18" customHeight="1" x14ac:dyDescent="0.4">
      <c r="H9" s="57">
        <f>IF(D11*(1+I38)&gt;J30*(1+I38),J30*(1+I38)-H8-H7,IF(AND(D11*(1+I38)&gt;J29+(1*I38),D11*(1+I38)&lt;=J30*(1+I38)),D11*(1+I38)-H8-H7,0))</f>
        <v>0</v>
      </c>
      <c r="I9" s="58">
        <f t="shared" ref="I9" si="2">IF(H9=0,0,I8+H9)</f>
        <v>0</v>
      </c>
      <c r="J9" s="58">
        <f>H9/(1+$I$38)</f>
        <v>0</v>
      </c>
      <c r="K9" s="58">
        <f t="shared" ref="K9" si="3">IF(J9=0,0,K8+J9)</f>
        <v>0</v>
      </c>
      <c r="L9" s="59">
        <f t="shared" si="0"/>
        <v>0</v>
      </c>
      <c r="M9" s="58">
        <f t="shared" si="1"/>
        <v>0</v>
      </c>
      <c r="N9" s="60">
        <f>IF(D11&gt;J30,((((J30-J22-J19)*I25)+(J30*I35)+(J29-J28)*I28)+(J30-J29)*I29)+(J30*(1+I38)-J30),IF(AND(D21&gt;J29,D21&lt;=J30),((D21-D22-D23)*I25)+(D21*I35)+((J29-J28)*I28)+((D21-J29)*I29)+((D21*(1+I38))-D21),0))</f>
        <v>0</v>
      </c>
      <c r="P9" s="111"/>
      <c r="X9" s="102"/>
    </row>
    <row r="10" spans="3:24" ht="18" customHeight="1" x14ac:dyDescent="0.45">
      <c r="C10" s="147" t="s">
        <v>40</v>
      </c>
      <c r="D10" s="148"/>
      <c r="H10" s="57">
        <f>IF(D11*(1+I38)&gt;J31*(1+I38),J31*(1+I38)-H9-H8-H7,IF(AND(D11*(1+I38)&gt;J30+(1*I38),D11*(1+I38)&lt;=J31*(1+I38)),D11*(1+I38)-H9-H8-H7,0))</f>
        <v>0</v>
      </c>
      <c r="I10" s="58">
        <f>IF(H10&lt;=0.00001,0,I9+H10)</f>
        <v>0</v>
      </c>
      <c r="J10" s="58">
        <f>H10/(1+$I$38)</f>
        <v>0</v>
      </c>
      <c r="K10" s="58">
        <f>IF(J10&lt;=0.0001,0,K9+J10)</f>
        <v>0</v>
      </c>
      <c r="L10" s="59">
        <f t="shared" si="0"/>
        <v>0</v>
      </c>
      <c r="M10" s="58">
        <f t="shared" si="1"/>
        <v>0</v>
      </c>
      <c r="N10" s="60">
        <f>IF(D11&gt;J31,(J31-J22-J19)*I25+(J31*I35)+(J29-J28)*I28+(J30-J29)*I29+(J31-J30)*I30+(J31*(1+I38)-J31),IF(AND(D21&gt;J30,D21&lt;=J31),((D21-D22-D23)*I25)+(D21*I35)+(J29-J28)*I28+(J30-J29)*I29+(D21-J30)*I30+(D21*(1+I38)-D21),0))</f>
        <v>0</v>
      </c>
      <c r="X10" s="102"/>
    </row>
    <row r="11" spans="3:24" ht="18" customHeight="1" thickBot="1" x14ac:dyDescent="0.45">
      <c r="C11" s="17" t="s">
        <v>48</v>
      </c>
      <c r="D11" s="144">
        <f>'Skattefritt utbytte'!D56</f>
        <v>0</v>
      </c>
      <c r="E11" s="25"/>
      <c r="F11" s="25"/>
      <c r="H11" s="57">
        <f>IF(D11*(1+I38)&gt;J32*(1+I38),J32*(1+I38)-H10-H9-H8-H7,IF(AND(D11*(1+I38)&gt;J31+(1*I38),D11*(1+I38)&lt;=J32*(1+I38)),D11*(1+I38)-H10-H9-H8-H7,0))</f>
        <v>0</v>
      </c>
      <c r="I11" s="58">
        <f>IF(H11&lt;=0.0001,0,I10+H11)</f>
        <v>0</v>
      </c>
      <c r="J11" s="58">
        <f>H11/(1+$I$38)</f>
        <v>0</v>
      </c>
      <c r="K11" s="58">
        <f>IF(J11&lt;=0.0001,0,K10+J11)</f>
        <v>0</v>
      </c>
      <c r="L11" s="59">
        <f>IF(H11=0,0,M11/H11)</f>
        <v>0</v>
      </c>
      <c r="M11" s="58">
        <f>IF(N11=0,0,N11-N10)</f>
        <v>0</v>
      </c>
      <c r="N11" s="60">
        <f>IF(D11&gt;J32,(J32-J22-J19)*I25+(J32*I35)+(J29-J28)*I28+(J30-J29)*I29+(J31-J30)*I30+(J32-J31)*I31+(J38*I38)+(J32-J38)*I38,IF(AND(D21&gt;J31,D21&lt;=J32),((D21-D22-D23)*I25)+(D21*I35)+(J29-J28)*I28+(J30-J29)*I29+(J31-J30)*I30+(D21-J31)*I31+(J38*I38)+(D21-J38)*I38,0))</f>
        <v>0</v>
      </c>
      <c r="P11" s="107"/>
      <c r="X11" s="114"/>
    </row>
    <row r="12" spans="3:24" ht="18" customHeight="1" x14ac:dyDescent="0.4">
      <c r="C12" s="29"/>
      <c r="D12" s="30"/>
      <c r="H12" s="61">
        <f>IF((D11-J38)*(1+I38)+J38*(1+I38)&gt;(J32-J38)*(1+I38)+J38*(1+I38),(D11-J38)*(1+I38)+J38*(1+I38)-H11-H10-H9-H8-H7,0)</f>
        <v>0</v>
      </c>
      <c r="I12" s="62">
        <f>IF(H12=0,0,I11+H12)</f>
        <v>0</v>
      </c>
      <c r="J12" s="62">
        <f>H12/(1+$I$38)</f>
        <v>0</v>
      </c>
      <c r="K12" s="62">
        <f>IF(J12=0,0,K11+J12)</f>
        <v>0</v>
      </c>
      <c r="L12" s="63">
        <f>IF(H12=0,0,M12/H12)</f>
        <v>0</v>
      </c>
      <c r="M12" s="62">
        <f>IF(N12=0,0,N12-N11)</f>
        <v>0</v>
      </c>
      <c r="N12" s="64">
        <f>IF(D11&gt;J32,((D11-D22-D23)*I25+(I35*D11)+(J29-J28)*I28+(J30-J29)*I29+(J31-J30)*I30+(J32-J31)*I31+(D11-J32)*I32)+(J38*(1+I38)-J38)+(D11-J38)*(1+I38)-(D11-J38),0)</f>
        <v>0</v>
      </c>
      <c r="P12" s="115"/>
      <c r="X12" s="114"/>
    </row>
    <row r="13" spans="3:24" ht="18" customHeight="1" x14ac:dyDescent="0.45">
      <c r="C13" s="165"/>
      <c r="E13" s="25"/>
      <c r="F13" s="25"/>
      <c r="X13" s="102"/>
    </row>
    <row r="14" spans="3:24" ht="18" customHeight="1" x14ac:dyDescent="0.35">
      <c r="C14" s="40"/>
      <c r="D14" s="166"/>
      <c r="E14" s="25"/>
      <c r="F14" s="25"/>
      <c r="G14" s="107"/>
      <c r="X14" s="102"/>
    </row>
    <row r="15" spans="3:24" ht="17.25" customHeight="1" x14ac:dyDescent="0.5">
      <c r="H15" s="100" t="s">
        <v>27</v>
      </c>
      <c r="I15" s="101"/>
      <c r="J15" s="101"/>
      <c r="X15" s="102"/>
    </row>
    <row r="16" spans="3:24" ht="16.5" customHeight="1" x14ac:dyDescent="0.4">
      <c r="C16" s="26"/>
      <c r="D16" s="27"/>
      <c r="H16" s="96"/>
      <c r="I16" s="96"/>
      <c r="J16" s="96"/>
      <c r="X16" s="102"/>
    </row>
    <row r="17" spans="3:24" ht="16" x14ac:dyDescent="0.4">
      <c r="C17" s="26"/>
      <c r="D17" s="28"/>
      <c r="H17" s="103"/>
      <c r="I17" s="101"/>
      <c r="J17" s="101"/>
      <c r="X17" s="102"/>
    </row>
    <row r="18" spans="3:24" ht="21" x14ac:dyDescent="0.5">
      <c r="C18" s="39" t="s">
        <v>62</v>
      </c>
      <c r="G18" s="23"/>
      <c r="H18" s="104"/>
      <c r="I18" s="105"/>
      <c r="J18" s="106" t="s">
        <v>4</v>
      </c>
      <c r="X18" s="102"/>
    </row>
    <row r="19" spans="3:24" x14ac:dyDescent="0.35">
      <c r="G19" s="23"/>
      <c r="H19" s="108" t="s">
        <v>16</v>
      </c>
      <c r="I19" s="109"/>
      <c r="J19" s="110">
        <v>114540</v>
      </c>
      <c r="X19" s="102"/>
    </row>
    <row r="20" spans="3:24" ht="14.25" customHeight="1" x14ac:dyDescent="0.4">
      <c r="C20" s="19" t="s">
        <v>50</v>
      </c>
      <c r="D20" s="31" t="s">
        <v>4</v>
      </c>
      <c r="G20" s="34"/>
      <c r="H20" s="112"/>
      <c r="I20" s="113"/>
      <c r="J20" s="113"/>
      <c r="K20" s="157"/>
      <c r="L20" s="157"/>
      <c r="M20" s="157"/>
      <c r="N20" s="157"/>
      <c r="O20" s="157"/>
      <c r="P20" s="157"/>
      <c r="X20" s="102"/>
    </row>
    <row r="21" spans="3:24" ht="16" x14ac:dyDescent="0.4">
      <c r="C21" s="17" t="s">
        <v>40</v>
      </c>
      <c r="D21" s="25">
        <f>D11+'Skattefritt utbytte'!D44</f>
        <v>0</v>
      </c>
      <c r="G21" s="123"/>
      <c r="H21" s="104"/>
      <c r="I21" s="105" t="s">
        <v>2</v>
      </c>
      <c r="J21" s="106" t="s">
        <v>3</v>
      </c>
      <c r="K21" s="128"/>
      <c r="L21" s="128"/>
      <c r="M21" s="128"/>
      <c r="N21" s="128"/>
      <c r="O21" s="128"/>
      <c r="P21" s="128"/>
      <c r="X21" s="102"/>
    </row>
    <row r="22" spans="3:24" ht="16" x14ac:dyDescent="0.4">
      <c r="C22" s="17" t="s">
        <v>1</v>
      </c>
      <c r="D22" s="25">
        <f>IF(D21*I22&gt;=J22,J22,D21*I22)</f>
        <v>0</v>
      </c>
      <c r="E22" s="32"/>
      <c r="F22" s="32"/>
      <c r="G22" s="23"/>
      <c r="H22" s="108" t="s">
        <v>1</v>
      </c>
      <c r="I22" s="109">
        <v>0.46</v>
      </c>
      <c r="J22" s="110">
        <v>95700</v>
      </c>
      <c r="K22" s="128"/>
      <c r="L22" s="128"/>
      <c r="M22" s="128"/>
      <c r="N22" s="128"/>
      <c r="O22" s="128"/>
      <c r="P22" s="128"/>
      <c r="X22" s="102"/>
    </row>
    <row r="23" spans="3:24" ht="16" x14ac:dyDescent="0.4">
      <c r="C23" s="18" t="s">
        <v>16</v>
      </c>
      <c r="D23" s="35">
        <f>IF(D11=0,0,J19)</f>
        <v>0</v>
      </c>
      <c r="G23" s="23"/>
      <c r="H23" s="112"/>
      <c r="I23" s="113"/>
      <c r="J23" s="113"/>
      <c r="K23" s="128"/>
      <c r="L23" s="128"/>
      <c r="M23" s="128"/>
      <c r="N23" s="128"/>
      <c r="O23" s="128"/>
      <c r="P23" s="128"/>
      <c r="X23" s="102"/>
    </row>
    <row r="24" spans="3:24" ht="16" customHeight="1" thickBot="1" x14ac:dyDescent="0.45">
      <c r="C24" s="77" t="s">
        <v>51</v>
      </c>
      <c r="D24" s="76">
        <f>IF(D21-D22-D23&lt;=0,0,D21-D22-D23)</f>
        <v>0</v>
      </c>
      <c r="G24" s="127"/>
      <c r="H24" s="104"/>
      <c r="I24" s="105" t="s">
        <v>2</v>
      </c>
      <c r="J24" s="116"/>
      <c r="K24" s="128"/>
      <c r="L24" s="128"/>
      <c r="M24" s="128"/>
      <c r="N24" s="128"/>
      <c r="O24" s="128"/>
      <c r="P24" s="128"/>
      <c r="X24" s="102"/>
    </row>
    <row r="25" spans="3:24" x14ac:dyDescent="0.35">
      <c r="D25" s="25"/>
      <c r="E25" s="34"/>
      <c r="F25" s="34"/>
      <c r="G25" s="23"/>
      <c r="H25" s="108" t="s">
        <v>7</v>
      </c>
      <c r="I25" s="109">
        <v>0.22</v>
      </c>
      <c r="J25" s="117"/>
      <c r="K25" s="128"/>
      <c r="L25" s="128"/>
      <c r="M25" s="128"/>
      <c r="N25" s="128"/>
      <c r="O25" s="128"/>
      <c r="P25" s="128"/>
      <c r="X25" s="102"/>
    </row>
    <row r="26" spans="3:24" ht="16" x14ac:dyDescent="0.4">
      <c r="C26" s="19" t="s">
        <v>52</v>
      </c>
      <c r="D26" s="42">
        <f>IF(D21&lt;J41,0,(D24)*I25)</f>
        <v>0</v>
      </c>
      <c r="E26" s="34"/>
      <c r="F26" s="34"/>
      <c r="G26" s="23"/>
      <c r="H26" s="112"/>
      <c r="I26" s="113"/>
      <c r="J26" s="113"/>
      <c r="K26" s="128"/>
      <c r="L26" s="128"/>
      <c r="M26" s="128"/>
      <c r="N26" s="128"/>
      <c r="O26" s="128"/>
      <c r="P26" s="128"/>
      <c r="X26" s="102"/>
    </row>
    <row r="27" spans="3:24" x14ac:dyDescent="0.35">
      <c r="E27" s="34"/>
      <c r="F27" s="34"/>
      <c r="G27" s="23"/>
      <c r="H27" s="104"/>
      <c r="I27" s="105" t="s">
        <v>2</v>
      </c>
      <c r="J27" s="106" t="s">
        <v>6</v>
      </c>
      <c r="K27" s="128"/>
      <c r="L27" s="128"/>
      <c r="M27" s="128"/>
      <c r="N27" s="128"/>
      <c r="O27" s="128"/>
      <c r="P27" s="128"/>
      <c r="X27" s="102"/>
    </row>
    <row r="28" spans="3:24" ht="16" x14ac:dyDescent="0.4">
      <c r="C28" s="19" t="s">
        <v>54</v>
      </c>
      <c r="D28" s="33"/>
      <c r="E28" s="34"/>
      <c r="F28" s="34"/>
      <c r="G28" s="23"/>
      <c r="H28" s="118" t="s">
        <v>5</v>
      </c>
      <c r="I28" s="119">
        <v>1.7000000000000001E-2</v>
      </c>
      <c r="J28" s="120">
        <v>226100</v>
      </c>
      <c r="K28" s="128"/>
      <c r="L28" s="128"/>
      <c r="M28" s="128"/>
      <c r="N28" s="128"/>
      <c r="O28" s="128"/>
      <c r="P28" s="128"/>
      <c r="X28" s="102"/>
    </row>
    <row r="29" spans="3:24" ht="16" x14ac:dyDescent="0.4">
      <c r="C29" s="17" t="s">
        <v>5</v>
      </c>
      <c r="D29" s="25">
        <f>IF(D21&lt;J28,0,IF(AND(D21&gt;=J28,D21&lt;=J29),D21-J28,IF(D21&gt;J29,J29-J28,0)))*I28</f>
        <v>0</v>
      </c>
      <c r="E29" s="34"/>
      <c r="F29" s="34"/>
      <c r="G29" s="23"/>
      <c r="H29" s="118" t="s">
        <v>8</v>
      </c>
      <c r="I29" s="119">
        <v>0.04</v>
      </c>
      <c r="J29" s="120">
        <v>318300</v>
      </c>
      <c r="K29" s="128"/>
      <c r="L29" s="128"/>
      <c r="M29" s="128"/>
      <c r="N29" s="128"/>
      <c r="O29" s="128"/>
      <c r="P29" s="128"/>
      <c r="X29" s="102"/>
    </row>
    <row r="30" spans="3:24" ht="16" customHeight="1" x14ac:dyDescent="0.4">
      <c r="C30" s="17" t="s">
        <v>8</v>
      </c>
      <c r="D30" s="25">
        <f>IF(D21&lt;J29,0,IF(AND(D21&gt;J29,D21&lt;=J30),D21-J29,IF(D21&gt;J30,J30-J29,0)))*I29</f>
        <v>0</v>
      </c>
      <c r="E30" s="34"/>
      <c r="F30" s="34"/>
      <c r="G30" s="23"/>
      <c r="H30" s="118" t="s">
        <v>9</v>
      </c>
      <c r="I30" s="119">
        <v>0.13700000000000001</v>
      </c>
      <c r="J30" s="120">
        <v>725050</v>
      </c>
      <c r="K30" s="128"/>
      <c r="L30" s="128"/>
      <c r="M30" s="128"/>
      <c r="N30" s="128"/>
      <c r="O30" s="128"/>
      <c r="P30" s="128"/>
      <c r="X30" s="102"/>
    </row>
    <row r="31" spans="3:24" ht="16" customHeight="1" x14ac:dyDescent="0.4">
      <c r="C31" s="17" t="s">
        <v>9</v>
      </c>
      <c r="D31" s="25">
        <f>IF($D$21&lt;J30,0,IF(AND($D$21&gt;J30,$D$21&lt;=J31),$D$21-J30,IF($D$21&gt;J31,J31-J30,0)))*I30</f>
        <v>0</v>
      </c>
      <c r="G31" s="23"/>
      <c r="H31" s="118" t="s">
        <v>10</v>
      </c>
      <c r="I31" s="119">
        <v>0.16800000000000001</v>
      </c>
      <c r="J31" s="120">
        <v>980100</v>
      </c>
      <c r="K31" s="128"/>
      <c r="L31" s="128"/>
      <c r="M31" s="128"/>
      <c r="N31" s="128"/>
      <c r="O31" s="128"/>
      <c r="P31" s="128"/>
      <c r="X31" s="102"/>
    </row>
    <row r="32" spans="3:24" ht="16" customHeight="1" x14ac:dyDescent="0.4">
      <c r="C32" s="17" t="s">
        <v>10</v>
      </c>
      <c r="D32" s="25">
        <f>IF($D$21&lt;J31,0,IF(AND($D$21&gt;J31,$D$21&lt;=J32),$D$21-J31,IF($D$21&gt;J32,J32-J31,0)))*I31</f>
        <v>0</v>
      </c>
      <c r="E32" s="34"/>
      <c r="F32" s="34"/>
      <c r="H32" s="108" t="s">
        <v>11</v>
      </c>
      <c r="I32" s="125">
        <v>0.17799999999999999</v>
      </c>
      <c r="J32" s="110">
        <v>1467200</v>
      </c>
      <c r="K32" s="128"/>
      <c r="L32" s="128"/>
      <c r="M32" s="128"/>
      <c r="N32" s="128"/>
      <c r="O32" s="128"/>
      <c r="P32" s="128"/>
      <c r="X32" s="102"/>
    </row>
    <row r="33" spans="3:24" ht="16.5" customHeight="1" x14ac:dyDescent="0.4">
      <c r="C33" s="18" t="s">
        <v>11</v>
      </c>
      <c r="D33" s="35">
        <f>IF(D21&lt;J32,0,(D21-J32))*I32</f>
        <v>0</v>
      </c>
      <c r="H33" s="112"/>
      <c r="I33" s="113"/>
      <c r="J33" s="113"/>
      <c r="K33" s="128"/>
      <c r="L33" s="128"/>
      <c r="M33" s="128"/>
      <c r="N33" s="128"/>
      <c r="O33" s="128"/>
      <c r="P33" s="128"/>
      <c r="X33" s="102"/>
    </row>
    <row r="34" spans="3:24" ht="16.5" customHeight="1" thickBot="1" x14ac:dyDescent="0.45">
      <c r="C34" s="77" t="s">
        <v>53</v>
      </c>
      <c r="D34" s="76">
        <f>SUM(D29:D33)</f>
        <v>0</v>
      </c>
      <c r="E34" s="36"/>
      <c r="F34" s="36"/>
      <c r="H34" s="104"/>
      <c r="I34" s="105" t="s">
        <v>13</v>
      </c>
      <c r="J34" s="106" t="s">
        <v>14</v>
      </c>
      <c r="K34" s="128"/>
      <c r="L34" s="128"/>
      <c r="M34" s="128"/>
      <c r="N34" s="128"/>
      <c r="O34" s="128"/>
      <c r="P34" s="128"/>
      <c r="X34" s="102"/>
    </row>
    <row r="35" spans="3:24" ht="16.5" customHeight="1" x14ac:dyDescent="0.35">
      <c r="E35" s="37"/>
      <c r="F35" s="37"/>
      <c r="H35" s="108" t="s">
        <v>12</v>
      </c>
      <c r="I35" s="125">
        <v>7.5999999999999998E-2</v>
      </c>
      <c r="J35" s="110">
        <v>99650</v>
      </c>
      <c r="K35" s="128"/>
      <c r="L35" s="128"/>
      <c r="M35" s="128"/>
      <c r="N35" s="128"/>
      <c r="O35" s="128"/>
      <c r="P35" s="128"/>
      <c r="X35" s="102"/>
    </row>
    <row r="36" spans="3:24" ht="16" x14ac:dyDescent="0.4">
      <c r="C36" s="45" t="s">
        <v>58</v>
      </c>
      <c r="D36" s="46">
        <f>D26+D34</f>
        <v>0</v>
      </c>
      <c r="E36" s="37"/>
      <c r="F36" s="37"/>
      <c r="H36" s="112"/>
      <c r="I36" s="113"/>
      <c r="J36" s="113"/>
      <c r="K36" s="128"/>
      <c r="L36" s="128"/>
      <c r="M36" s="128"/>
      <c r="N36" s="128"/>
      <c r="O36" s="128"/>
      <c r="P36" s="128"/>
      <c r="X36" s="102"/>
    </row>
    <row r="37" spans="3:24" ht="17.25" customHeight="1" x14ac:dyDescent="0.4">
      <c r="C37" s="17" t="s">
        <v>12</v>
      </c>
      <c r="D37" s="25">
        <f>IF(D21&lt;J35,0,IF((D21-J35)*0.25&lt;(D21*I35),(D21-J35)*0.25,D21*I35))</f>
        <v>0</v>
      </c>
      <c r="E37" s="36"/>
      <c r="F37" s="36"/>
      <c r="H37" s="104"/>
      <c r="I37" s="105" t="s">
        <v>2</v>
      </c>
      <c r="J37" s="106" t="s">
        <v>6</v>
      </c>
      <c r="K37" s="128"/>
      <c r="L37" s="128"/>
      <c r="M37" s="128"/>
      <c r="N37" s="128"/>
      <c r="O37" s="128"/>
      <c r="P37" s="128"/>
      <c r="V37" s="102"/>
      <c r="W37" s="102"/>
      <c r="X37" s="102"/>
    </row>
    <row r="38" spans="3:24" ht="17.25" customHeight="1" x14ac:dyDescent="0.4">
      <c r="C38" s="43" t="s">
        <v>46</v>
      </c>
      <c r="D38" s="44">
        <f>D11*(1+I38)-D11</f>
        <v>0</v>
      </c>
      <c r="E38" s="37"/>
      <c r="F38" s="37"/>
      <c r="H38" s="129" t="s">
        <v>15</v>
      </c>
      <c r="I38" s="125" cm="1">
        <f t="array" ref="I38">INDEX('Diagram marginalskatt'!B31:B36,MATCH('Lønn eller utbytte'!G11,'Diagram marginalskatt'!A31:A36,0),)</f>
        <v>0.14099999999999999</v>
      </c>
      <c r="J38" s="117">
        <v>1</v>
      </c>
      <c r="K38" s="128"/>
      <c r="L38" s="128"/>
      <c r="M38" s="128"/>
      <c r="N38" s="128"/>
      <c r="O38" s="128"/>
      <c r="P38" s="128"/>
    </row>
    <row r="39" spans="3:24" ht="17.25" customHeight="1" x14ac:dyDescent="0.4">
      <c r="C39" s="20" t="s">
        <v>55</v>
      </c>
      <c r="D39" s="74">
        <f>SUM(D36:D38)</f>
        <v>0</v>
      </c>
      <c r="E39" s="36"/>
      <c r="F39" s="36"/>
      <c r="H39" s="130"/>
      <c r="I39" s="119"/>
      <c r="J39" s="131"/>
      <c r="K39" s="128"/>
      <c r="L39" s="128"/>
      <c r="M39" s="128"/>
      <c r="N39" s="128"/>
      <c r="O39" s="128"/>
      <c r="P39" s="128"/>
    </row>
    <row r="40" spans="3:24" ht="16.5" customHeight="1" x14ac:dyDescent="0.35">
      <c r="H40" s="104"/>
      <c r="I40" s="132"/>
      <c r="J40" s="106" t="s">
        <v>14</v>
      </c>
      <c r="K40" s="128"/>
      <c r="L40" s="128"/>
      <c r="M40" s="128"/>
      <c r="N40" s="128"/>
      <c r="O40" s="128"/>
      <c r="P40" s="128"/>
    </row>
    <row r="41" spans="3:24" x14ac:dyDescent="0.35">
      <c r="E41" s="34"/>
      <c r="F41" s="34"/>
      <c r="H41" s="108" t="s">
        <v>18</v>
      </c>
      <c r="I41" s="135"/>
      <c r="J41" s="110">
        <v>147450</v>
      </c>
      <c r="K41" s="96"/>
      <c r="L41" s="96"/>
      <c r="M41" s="96"/>
      <c r="N41" s="158"/>
      <c r="O41" s="96"/>
      <c r="P41" s="96"/>
    </row>
    <row r="42" spans="3:24" x14ac:dyDescent="0.35">
      <c r="C42" s="21" t="s">
        <v>578</v>
      </c>
      <c r="D42" s="25">
        <f>D21-D36-D37</f>
        <v>0</v>
      </c>
      <c r="E42" s="25"/>
      <c r="F42" s="25"/>
      <c r="H42" s="112"/>
      <c r="I42" s="113"/>
      <c r="J42" s="113"/>
    </row>
    <row r="43" spans="3:24" x14ac:dyDescent="0.35">
      <c r="C43" s="21" t="s">
        <v>21</v>
      </c>
      <c r="D43" s="25">
        <f>D21*(1+I38)</f>
        <v>0</v>
      </c>
      <c r="E43" s="25"/>
      <c r="F43" s="25"/>
      <c r="H43" s="104"/>
      <c r="I43" s="105" t="s">
        <v>2</v>
      </c>
      <c r="J43" s="106" t="s">
        <v>6</v>
      </c>
    </row>
    <row r="44" spans="3:24" x14ac:dyDescent="0.35">
      <c r="C44" s="21" t="s">
        <v>581</v>
      </c>
      <c r="D44" s="25">
        <f>'Skattefritt utbytte'!D8-'Kopi til gjenstående (2)'!D43</f>
        <v>0</v>
      </c>
      <c r="H44" s="108" t="s">
        <v>17</v>
      </c>
      <c r="I44" s="137">
        <v>0.51519999999999999</v>
      </c>
      <c r="J44" s="117">
        <v>1</v>
      </c>
    </row>
    <row r="45" spans="3:24" x14ac:dyDescent="0.35">
      <c r="C45" s="21" t="s">
        <v>43</v>
      </c>
      <c r="D45" s="25">
        <f>D44*0.22</f>
        <v>0</v>
      </c>
    </row>
    <row r="46" spans="3:24" x14ac:dyDescent="0.35">
      <c r="C46" s="21" t="s">
        <v>19</v>
      </c>
      <c r="D46" s="25">
        <f>(D44-D45)*0.3784</f>
        <v>0</v>
      </c>
    </row>
    <row r="47" spans="3:24" x14ac:dyDescent="0.35">
      <c r="C47" s="153" t="s">
        <v>579</v>
      </c>
      <c r="D47" s="35">
        <f>D44-D45-D46</f>
        <v>0</v>
      </c>
    </row>
    <row r="48" spans="3:24" ht="15.65" customHeight="1" x14ac:dyDescent="0.35">
      <c r="C48" s="75" t="s">
        <v>580</v>
      </c>
      <c r="D48" s="369">
        <f>D42+D47</f>
        <v>0</v>
      </c>
      <c r="E48" s="25"/>
      <c r="F48" s="25"/>
    </row>
    <row r="49" spans="2:11" ht="15.65" customHeight="1" x14ac:dyDescent="0.35">
      <c r="D49" s="25"/>
      <c r="J49" s="155"/>
    </row>
    <row r="50" spans="2:11" x14ac:dyDescent="0.35">
      <c r="D50" s="25"/>
      <c r="J50" s="155"/>
    </row>
    <row r="51" spans="2:11" ht="19" customHeight="1" x14ac:dyDescent="0.35">
      <c r="D51" s="25"/>
      <c r="J51" s="155"/>
    </row>
    <row r="52" spans="2:11" ht="19" customHeight="1" x14ac:dyDescent="0.35">
      <c r="D52" s="25"/>
      <c r="E52" s="156"/>
      <c r="F52" s="156"/>
      <c r="I52" s="107"/>
      <c r="J52" s="155"/>
      <c r="K52" s="154"/>
    </row>
    <row r="53" spans="2:11" x14ac:dyDescent="0.35">
      <c r="C53" s="149"/>
      <c r="D53" s="151"/>
      <c r="H53" s="107"/>
      <c r="I53" s="107"/>
      <c r="J53" s="155"/>
      <c r="K53" s="23"/>
    </row>
    <row r="54" spans="2:11" x14ac:dyDescent="0.35">
      <c r="C54" s="150"/>
      <c r="D54" s="152"/>
      <c r="E54" s="25"/>
      <c r="F54" s="25"/>
      <c r="I54" s="107"/>
      <c r="J54" s="155"/>
      <c r="K54" s="376"/>
    </row>
    <row r="55" spans="2:11" x14ac:dyDescent="0.35">
      <c r="I55" s="107"/>
      <c r="J55" s="155"/>
      <c r="K55" s="376"/>
    </row>
    <row r="56" spans="2:11" ht="16" x14ac:dyDescent="0.4">
      <c r="B56" s="78"/>
      <c r="D56" s="25"/>
      <c r="I56" s="107"/>
      <c r="J56" s="155"/>
      <c r="K56" s="23"/>
    </row>
    <row r="57" spans="2:11" ht="16" x14ac:dyDescent="0.4">
      <c r="B57" s="66"/>
      <c r="I57" s="107"/>
      <c r="J57" s="155"/>
      <c r="K57" s="25"/>
    </row>
    <row r="58" spans="2:11" x14ac:dyDescent="0.35">
      <c r="C58" s="149"/>
      <c r="D58" s="151"/>
      <c r="I58" s="107"/>
      <c r="J58" s="155"/>
    </row>
    <row r="59" spans="2:11" x14ac:dyDescent="0.35">
      <c r="D59" s="25"/>
      <c r="I59" s="107"/>
      <c r="J59" s="155"/>
    </row>
    <row r="60" spans="2:11" x14ac:dyDescent="0.35">
      <c r="I60" s="107"/>
      <c r="J60" s="155"/>
    </row>
    <row r="61" spans="2:11" x14ac:dyDescent="0.35">
      <c r="D61" s="25"/>
      <c r="J61" s="155"/>
    </row>
    <row r="62" spans="2:11" x14ac:dyDescent="0.35">
      <c r="H62" s="75"/>
      <c r="J62" s="155"/>
    </row>
    <row r="63" spans="2:11" x14ac:dyDescent="0.35">
      <c r="C63" s="149"/>
      <c r="D63" s="151"/>
      <c r="J63" s="155"/>
    </row>
    <row r="64" spans="2:11" x14ac:dyDescent="0.35">
      <c r="D64" s="25"/>
      <c r="J64" s="155"/>
    </row>
    <row r="65" spans="3:10" x14ac:dyDescent="0.35">
      <c r="C65" s="150"/>
      <c r="D65" s="152"/>
      <c r="J65" s="155"/>
    </row>
    <row r="66" spans="3:10" x14ac:dyDescent="0.35">
      <c r="D66" s="25"/>
      <c r="J66" s="155"/>
    </row>
    <row r="67" spans="3:10" x14ac:dyDescent="0.35">
      <c r="J67" s="155"/>
    </row>
  </sheetData>
  <sheetProtection formatColumns="0" formatRows="0" insertRows="0" selectLockedCells="1"/>
  <mergeCells count="1">
    <mergeCell ref="K54:K55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188034474CF5E4885265FCF1270F314" ma:contentTypeVersion="20" ma:contentTypeDescription="Opprett et nytt dokument." ma:contentTypeScope="" ma:versionID="15eeb591610bef9ce7634da04f12c4c4">
  <xsd:schema xmlns:xsd="http://www.w3.org/2001/XMLSchema" xmlns:xs="http://www.w3.org/2001/XMLSchema" xmlns:p="http://schemas.microsoft.com/office/2006/metadata/properties" xmlns:ns2="5042e93d-9b3e-4009-93bb-a04d34aab9a1" xmlns:ns3="e3f87b39-762e-410c-989d-a6e4082a9a1c" targetNamespace="http://schemas.microsoft.com/office/2006/metadata/properties" ma:root="true" ma:fieldsID="7f217f9ea3ead55c13b49a1acf3da122" ns2:_="" ns3:_="">
    <xsd:import namespace="5042e93d-9b3e-4009-93bb-a04d34aab9a1"/>
    <xsd:import namespace="e3f87b39-762e-410c-989d-a6e4082a9a1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Dato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42e93d-9b3e-4009-93bb-a04d34aab9a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e40dd14-be1f-46dc-8504-4150ffa0f0ab}" ma:internalName="TaxCatchAll" ma:showField="CatchAllData" ma:web="5042e93d-9b3e-4009-93bb-a04d34aab9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f87b39-762e-410c-989d-a6e4082a9a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o" ma:index="20" nillable="true" ma:displayName="Dato" ma:default="[today]" ma:format="DateTime" ma:internalName="Dato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1d941ce4-085e-436e-8a82-4200efdfc6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o xmlns="e3f87b39-762e-410c-989d-a6e4082a9a1c">2023-03-10T14:37:59+00:00</Dato>
    <lcf76f155ced4ddcb4097134ff3c332f xmlns="e3f87b39-762e-410c-989d-a6e4082a9a1c">
      <Terms xmlns="http://schemas.microsoft.com/office/infopath/2007/PartnerControls"/>
    </lcf76f155ced4ddcb4097134ff3c332f>
    <TaxCatchAll xmlns="5042e93d-9b3e-4009-93bb-a04d34aab9a1" xsi:nil="true"/>
  </documentManagement>
</p:properties>
</file>

<file path=customXml/itemProps1.xml><?xml version="1.0" encoding="utf-8"?>
<ds:datastoreItem xmlns:ds="http://schemas.openxmlformats.org/officeDocument/2006/customXml" ds:itemID="{D20C4FEB-89DF-4CBB-9F27-6DA82A4DEF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42e93d-9b3e-4009-93bb-a04d34aab9a1"/>
    <ds:schemaRef ds:uri="e3f87b39-762e-410c-989d-a6e4082a9a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6761DF-909F-4753-8C6F-5FC4AAD106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16ADAF-E242-4052-9B24-D9D185C1E151}">
  <ds:schemaRefs>
    <ds:schemaRef ds:uri="http://schemas.microsoft.com/office/2006/metadata/properties"/>
    <ds:schemaRef ds:uri="http://schemas.microsoft.com/office/infopath/2007/PartnerControls"/>
    <ds:schemaRef ds:uri="e3f87b39-762e-410c-989d-a6e4082a9a1c"/>
    <ds:schemaRef ds:uri="5042e93d-9b3e-4009-93bb-a04d34aab9a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Marginalskatt diagram</vt:lpstr>
      <vt:lpstr>AGA soner</vt:lpstr>
      <vt:lpstr>Lønn eller utbytte</vt:lpstr>
      <vt:lpstr>Lønn eller utbytte - skjerming</vt:lpstr>
      <vt:lpstr>Skattefritt utbytte</vt:lpstr>
      <vt:lpstr>Diagram marginalskatt</vt:lpstr>
      <vt:lpstr>Kopi</vt:lpstr>
      <vt:lpstr>Kopi til gjenstående</vt:lpstr>
      <vt:lpstr>Kopi til gjenstående (2)</vt:lpstr>
      <vt:lpstr>Kopi til gjenstående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Svein Austheim</dc:creator>
  <cp:lastModifiedBy>Svein Austheim</cp:lastModifiedBy>
  <dcterms:created xsi:type="dcterms:W3CDTF">2023-03-02T08:44:18Z</dcterms:created>
  <dcterms:modified xsi:type="dcterms:W3CDTF">2026-02-24T15:55:16Z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0x010100F188034474CF5E4885265FCF1270F314</vt:lpwstr>
  </property>
  <property fmtid="{D5CDD505-2E9C-101B-9397-08002B2CF9AE}" pid="3" name="MediaServiceImageTags">
    <vt:lpwstr/>
  </property>
</Properties>
</file>