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nskapnorge.sharepoint.com/sites/Filserver/Delte dokumenter/Statistikk og analyse/Øvrige undersøkelser/Skatt vs utbytte/"/>
    </mc:Choice>
  </mc:AlternateContent>
  <xr:revisionPtr revIDLastSave="23" documentId="14_{7E53A5CB-B55D-4ABF-B029-C00D27CC9A72}" xr6:coauthVersionLast="47" xr6:coauthVersionMax="47" xr10:uidLastSave="{B4398927-80D7-479A-B91D-32A07BF9C4BE}"/>
  <bookViews>
    <workbookView xWindow="28680" yWindow="-120" windowWidth="29040" windowHeight="17640" xr2:uid="{CDEC7353-A4D9-4746-8470-7573B9DEF33D}"/>
  </bookViews>
  <sheets>
    <sheet name="Lønnsinntekt" sheetId="1" r:id="rId1"/>
    <sheet name="Innslagspunkter" sheetId="4" r:id="rId2"/>
    <sheet name="Diagram marginalskatt" sheetId="3" state="hidden" r:id="rId3"/>
    <sheet name="Diagram" sheetId="2" state="hidden" r:id="rId4"/>
  </sheets>
  <definedNames>
    <definedName name="solver_adj" localSheetId="0" hidden="1">Lønnsinntekt!$C$10:$C$11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Lønnsinntekt!$C$10</definedName>
    <definedName name="solver_lhs2" localSheetId="0" hidden="1">Lønnsinntekt!$C$10</definedName>
    <definedName name="solver_lhs3" localSheetId="0" hidden="1">Lønnsinntekt!#REF!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Lønnsinntekt!$C$43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2</definedName>
    <definedName name="solver_rhs1" localSheetId="0" hidden="1">"heltall"</definedName>
    <definedName name="solver_rhs2" localSheetId="0" hidden="1">1</definedName>
    <definedName name="solver_rhs3" localSheetId="0" hidden="1">Lønnsinntekt!$C$5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1" i="1" s="1"/>
  <c r="F6" i="1" l="1"/>
  <c r="C11" i="3"/>
  <c r="F7" i="1" l="1"/>
  <c r="G7" i="1" s="1"/>
  <c r="C23" i="3"/>
  <c r="C22" i="3"/>
  <c r="C21" i="3"/>
  <c r="C20" i="3"/>
  <c r="C19" i="3"/>
  <c r="C18" i="3"/>
  <c r="C17" i="3"/>
  <c r="C16" i="3"/>
  <c r="C15" i="3"/>
  <c r="C14" i="3"/>
  <c r="C13" i="3"/>
  <c r="C12" i="3"/>
  <c r="C10" i="3"/>
  <c r="C9" i="3"/>
  <c r="C8" i="3"/>
  <c r="C7" i="3"/>
  <c r="C6" i="3"/>
  <c r="C5" i="3"/>
  <c r="C4" i="3"/>
  <c r="H7" i="1" l="1"/>
  <c r="F8" i="1"/>
  <c r="H8" i="1" l="1"/>
  <c r="F9" i="1"/>
  <c r="G8" i="1"/>
  <c r="F10" i="1" l="1"/>
  <c r="F11" i="1" s="1"/>
  <c r="H9" i="1"/>
  <c r="G9" i="1"/>
  <c r="C8" i="1"/>
  <c r="B18" i="2"/>
  <c r="B25" i="2" s="1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H10" i="1" l="1"/>
  <c r="G10" i="1"/>
  <c r="B20" i="2"/>
  <c r="B23" i="2"/>
  <c r="B19" i="2"/>
  <c r="B24" i="2"/>
  <c r="B22" i="2"/>
  <c r="B21" i="2"/>
  <c r="H11" i="1" l="1"/>
  <c r="F12" i="1"/>
  <c r="G11" i="1"/>
  <c r="H6" i="1"/>
  <c r="I7" i="1" s="1"/>
  <c r="H12" i="1" l="1"/>
  <c r="G12" i="1"/>
  <c r="I8" i="1"/>
  <c r="I9" i="1" s="1"/>
  <c r="I10" i="1" s="1"/>
  <c r="I11" i="1" s="1"/>
  <c r="C38" i="1"/>
  <c r="C16" i="1"/>
  <c r="I12" i="1" l="1"/>
  <c r="C28" i="1"/>
  <c r="C27" i="1"/>
  <c r="C24" i="1"/>
  <c r="C17" i="1"/>
  <c r="L11" i="1" s="1"/>
  <c r="C26" i="1"/>
  <c r="C31" i="1"/>
  <c r="C25" i="1"/>
  <c r="L10" i="1" l="1"/>
  <c r="L9" i="1"/>
  <c r="L6" i="1"/>
  <c r="J6" i="1" s="1"/>
  <c r="L12" i="1"/>
  <c r="L8" i="1"/>
  <c r="L7" i="1"/>
  <c r="C19" i="1"/>
  <c r="C21" i="1" s="1"/>
  <c r="C29" i="1"/>
  <c r="K7" i="1" l="1"/>
  <c r="J7" i="1" s="1"/>
  <c r="K11" i="1"/>
  <c r="J11" i="1" s="1"/>
  <c r="K12" i="1"/>
  <c r="J12" i="1" s="1"/>
  <c r="K9" i="1"/>
  <c r="J9" i="1" s="1"/>
  <c r="K10" i="1"/>
  <c r="J10" i="1" s="1"/>
  <c r="K8" i="1"/>
  <c r="J8" i="1" s="1"/>
  <c r="C33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tc={72248041-9A96-4C66-BF47-333858B9A948}</author>
    <author>tc={F0E04469-259B-4719-BFA1-14D1223BE6CB}</author>
    <author>tc={C038D5A2-44C8-4040-AE77-8FBC4102F0E9}</author>
  </authors>
  <commentList>
    <comment ref="E7" authorId="0" shapeId="0" xr:uid="{72248041-9A96-4C66-BF47-333858B9A94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Minstebeløp for trygdeavgift</t>
      </text>
    </comment>
    <comment ref="E8" authorId="1" shapeId="0" xr:uid="{F0E04469-259B-4719-BFA1-14D1223BE6C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Skattebegrensningsregel</t>
      </text>
    </comment>
    <comment ref="E10" authorId="2" shapeId="0" xr:uid="{C038D5A2-44C8-4040-AE77-8FBC4102F0E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Optimalt minstefradrag (104 450)</t>
      </text>
    </comment>
  </commentList>
</comments>
</file>

<file path=xl/sharedStrings.xml><?xml version="1.0" encoding="utf-8"?>
<sst xmlns="http://schemas.openxmlformats.org/spreadsheetml/2006/main" count="91" uniqueCount="66">
  <si>
    <t>Lønnsnivå</t>
  </si>
  <si>
    <t>Minstefradrag</t>
  </si>
  <si>
    <t>Sats</t>
  </si>
  <si>
    <t>Maksbeløp</t>
  </si>
  <si>
    <t>Beløp</t>
  </si>
  <si>
    <t>Trinn 1</t>
  </si>
  <si>
    <t>Innslagspunkt</t>
  </si>
  <si>
    <t>Alminnelig inntekt</t>
  </si>
  <si>
    <t>Trinn 2</t>
  </si>
  <si>
    <t>Trinn 3</t>
  </si>
  <si>
    <t>Trinn 4</t>
  </si>
  <si>
    <t>Trinn 5</t>
  </si>
  <si>
    <t>Trygdeavgift</t>
  </si>
  <si>
    <t xml:space="preserve">Sats </t>
  </si>
  <si>
    <t>Minstebeløp</t>
  </si>
  <si>
    <t>AGA trinn 1</t>
  </si>
  <si>
    <t>AGA trinn 2</t>
  </si>
  <si>
    <t>Personfradrag</t>
  </si>
  <si>
    <t>Selskapsskatt / utbytte</t>
  </si>
  <si>
    <t>Skattebegrensningsregel</t>
  </si>
  <si>
    <t>Disponibelt til lønn etter AGA</t>
  </si>
  <si>
    <t>Lønnsbeløp</t>
  </si>
  <si>
    <t>Overskudd</t>
  </si>
  <si>
    <t>Utbytteskatt</t>
  </si>
  <si>
    <t>Lønnsskatt</t>
  </si>
  <si>
    <t>Lønn</t>
  </si>
  <si>
    <t>Årsresultat</t>
  </si>
  <si>
    <t>Lønn inkl. AGA</t>
  </si>
  <si>
    <t xml:space="preserve">Fra </t>
  </si>
  <si>
    <t>Til</t>
  </si>
  <si>
    <t>Type skatt</t>
  </si>
  <si>
    <t>Marginalskatt inkl. AGA</t>
  </si>
  <si>
    <t>AGA trinn 1, Trygdeavgift</t>
  </si>
  <si>
    <t>AGA trinn 1, Trygdeavgift, Inntektsskatt</t>
  </si>
  <si>
    <t>AGA trinn 1, Trygdeavgift, Inntektsskatt, trinn 1</t>
  </si>
  <si>
    <t>AGA trinn 1, Trygdeavgift, Inntektsskatt, trinn 1, trinn 2</t>
  </si>
  <si>
    <t>AGA trinn 1, Trygdeavgift, Inntektsskatt, trinn 1, trinn 2, trinn 3</t>
  </si>
  <si>
    <t>AGA trinn 2, Trygdeavgift, Inntektsskatt, trinn 1, trinn 2, trinn 3</t>
  </si>
  <si>
    <t>AGA trinn 2, Trygdeavgift, Inntektsskatt, trinn 1, trinn 2, trinn 3, trinn 4</t>
  </si>
  <si>
    <t>AGA trinn 2, Trygdeavgift, Inntektsskatt, trinn 1, trinn 2, trinn 3, trinn 4, trinn 5</t>
  </si>
  <si>
    <t>Selskapsskatt og utbytteskatt</t>
  </si>
  <si>
    <t>Aggregert lønn</t>
  </si>
  <si>
    <t>Skatt/AGA</t>
  </si>
  <si>
    <t>Aggregert skatt og AGA</t>
  </si>
  <si>
    <t>Disbonibelt til utbytte før selskapsskatt</t>
  </si>
  <si>
    <t>INNTEKTSGRUNNLAG</t>
  </si>
  <si>
    <t>SKATTEGRUNNLAG</t>
  </si>
  <si>
    <t>TRINNSKATT</t>
  </si>
  <si>
    <t>SUM INNTEKTSSKATT</t>
  </si>
  <si>
    <t xml:space="preserve">SUM TRINNSKATT </t>
  </si>
  <si>
    <t>SUM TRYGDEAVGIFT</t>
  </si>
  <si>
    <t>SUM SKATT OG TRYGDEAVGIFT</t>
  </si>
  <si>
    <t>MARGINALSATSER FOR LØNNSSKATT OG AGA</t>
  </si>
  <si>
    <t>DISPONERING AV ÅRESULTAT</t>
  </si>
  <si>
    <t>RELEVANTE SATSER OG FRADRAG</t>
  </si>
  <si>
    <t>SUM SELSKAPS- OG UTBYTTESKATT</t>
  </si>
  <si>
    <t>RELEVANTE INNSLAGSPUNKTER FOR BEREGNING AV SKATT PÅ LØNN OG AGA</t>
  </si>
  <si>
    <t xml:space="preserve"> Utbytte (før selskaps- og utbytteskatt)</t>
  </si>
  <si>
    <t>1. SKATT PÅ LØNNSINNTEKT</t>
  </si>
  <si>
    <t>2. SKATT PÅ UTBYTTE</t>
  </si>
  <si>
    <t>3. TOTALT</t>
  </si>
  <si>
    <t>TOTALT SKATT OG AVGIFTER</t>
  </si>
  <si>
    <t xml:space="preserve"> Skriv inn årsresultat før skatt:</t>
  </si>
  <si>
    <t xml:space="preserve"> Angi beløp som skal utbetales i lønn:</t>
  </si>
  <si>
    <t>Marginalsatser</t>
  </si>
  <si>
    <t>Aggregert årsresultat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</si>
</sst>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6532"/>
      <name val="Calibri"/>
      <family val="2"/>
      <scheme val="minor"/>
    </font>
    <font>
      <b/>
      <sz val="12"/>
      <color rgb="FFFF6532"/>
      <name val="Calibri"/>
      <family val="2"/>
      <scheme val="minor"/>
    </font>
    <font>
      <b/>
      <i/>
      <sz val="11"/>
      <color rgb="FFFF3B3B"/>
      <name val="Calibri"/>
      <family val="2"/>
      <scheme val="minor"/>
    </font>
    <font>
      <i/>
      <sz val="11"/>
      <color rgb="FFFF3B3B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0" fontId="0" fillId="0" borderId="7" xfId="0" applyBorder="1"/>
    <xf numFmtId="3" fontId="0" fillId="0" borderId="7" xfId="0" applyNumberFormat="1" applyBorder="1" applyAlignment="1">
      <alignment horizontal="center"/>
    </xf>
    <xf numFmtId="3" fontId="0" fillId="0" borderId="0" xfId="0" applyNumberFormat="1"/>
    <xf numFmtId="0" fontId="0" fillId="2" borderId="0" xfId="0" applyFill="1"/>
    <xf numFmtId="10" fontId="0" fillId="0" borderId="0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4" xfId="1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3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3" fontId="0" fillId="3" borderId="0" xfId="0" applyNumberForma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8" fillId="0" borderId="11" xfId="0" applyFont="1" applyBorder="1"/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0" fontId="11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0" fillId="0" borderId="0" xfId="0" applyFon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14" fillId="0" borderId="0" xfId="0" applyFont="1"/>
    <xf numFmtId="0" fontId="15" fillId="0" borderId="0" xfId="0" applyFont="1"/>
    <xf numFmtId="0" fontId="4" fillId="0" borderId="0" xfId="0" applyFont="1"/>
    <xf numFmtId="1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2" fillId="2" borderId="3" xfId="0" applyFont="1" applyFill="1" applyBorder="1" applyAlignment="1">
      <alignment horizontal="center"/>
    </xf>
    <xf numFmtId="0" fontId="11" fillId="2" borderId="6" xfId="0" applyFont="1" applyFill="1" applyBorder="1"/>
    <xf numFmtId="9" fontId="11" fillId="2" borderId="7" xfId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4" xfId="0" applyFont="1" applyFill="1" applyBorder="1"/>
    <xf numFmtId="164" fontId="11" fillId="2" borderId="0" xfId="1" applyNumberFormat="1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/>
    </xf>
    <xf numFmtId="164" fontId="11" fillId="2" borderId="7" xfId="1" applyNumberFormat="1" applyFont="1" applyFill="1" applyBorder="1" applyAlignment="1">
      <alignment horizontal="center"/>
    </xf>
    <xf numFmtId="3" fontId="11" fillId="2" borderId="4" xfId="0" applyNumberFormat="1" applyFont="1" applyFill="1" applyBorder="1"/>
    <xf numFmtId="0" fontId="11" fillId="2" borderId="5" xfId="0" applyFont="1" applyFill="1" applyBorder="1" applyAlignment="1">
      <alignment horizontal="center"/>
    </xf>
    <xf numFmtId="3" fontId="11" fillId="2" borderId="6" xfId="0" applyNumberFormat="1" applyFont="1" applyFill="1" applyBorder="1"/>
    <xf numFmtId="3" fontId="11" fillId="2" borderId="0" xfId="0" applyNumberFormat="1" applyFont="1" applyFill="1"/>
    <xf numFmtId="1" fontId="11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0" fontId="11" fillId="2" borderId="7" xfId="1" applyNumberFormat="1" applyFont="1" applyFill="1" applyBorder="1" applyAlignment="1">
      <alignment horizontal="center"/>
    </xf>
    <xf numFmtId="0" fontId="16" fillId="0" borderId="0" xfId="0" applyFont="1"/>
    <xf numFmtId="3" fontId="14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8" fillId="0" borderId="10" xfId="0" applyFont="1" applyBorder="1"/>
    <xf numFmtId="3" fontId="18" fillId="0" borderId="10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0" fontId="20" fillId="0" borderId="2" xfId="1" applyNumberFormat="1" applyFont="1" applyBorder="1" applyAlignment="1">
      <alignment horizontal="center"/>
    </xf>
    <xf numFmtId="10" fontId="20" fillId="0" borderId="0" xfId="1" applyNumberFormat="1" applyFont="1" applyBorder="1" applyAlignment="1">
      <alignment horizontal="center"/>
    </xf>
    <xf numFmtId="10" fontId="20" fillId="0" borderId="7" xfId="1" applyNumberFormat="1" applyFont="1" applyBorder="1" applyAlignment="1">
      <alignment horizontal="center"/>
    </xf>
    <xf numFmtId="0" fontId="9" fillId="0" borderId="10" xfId="0" applyFont="1" applyBorder="1"/>
    <xf numFmtId="3" fontId="9" fillId="0" borderId="10" xfId="0" applyNumberFormat="1" applyFont="1" applyBorder="1" applyAlignment="1">
      <alignment horizontal="center"/>
    </xf>
    <xf numFmtId="1" fontId="0" fillId="0" borderId="0" xfId="0" applyNumberForma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10" fontId="7" fillId="0" borderId="4" xfId="1" applyNumberFormat="1" applyFont="1" applyBorder="1" applyAlignment="1">
      <alignment horizontal="center"/>
    </xf>
    <xf numFmtId="10" fontId="7" fillId="0" borderId="0" xfId="1" applyNumberFormat="1" applyFont="1" applyAlignment="1">
      <alignment horizont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3" fontId="6" fillId="4" borderId="13" xfId="0" applyNumberFormat="1" applyFont="1" applyFill="1" applyBorder="1" applyAlignment="1" applyProtection="1">
      <alignment horizontal="center" vertical="center"/>
      <protection locked="0"/>
    </xf>
    <xf numFmtId="3" fontId="21" fillId="4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0098CB"/>
      <color rgb="FFFF3B3B"/>
      <color rgb="FFFF6532"/>
      <color rgb="FF9800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på lønnsinntekt</a:t>
            </a:r>
            <a:r>
              <a:rPr lang="nb-NO" baseline="0"/>
              <a:t> vs utbytte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Lønnsinntekt!#REF!</c:f>
            </c:numRef>
          </c:xVal>
          <c:yVal>
            <c:numRef>
              <c:f>Lønnsinntekt!#REF!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Lønnsinntekt!#REF!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C9-4F8C-9F35-305792C3A2F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Lønnsinntekt!#REF!</c:f>
            </c:numRef>
          </c:xVal>
          <c:yVal>
            <c:numRef>
              <c:f>Lønnsinntekt!#REF!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Lønnsinntekt!#REF!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DC9-4F8C-9F35-305792C3A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907400"/>
        <c:axId val="796908712"/>
      </c:scatterChart>
      <c:valAx>
        <c:axId val="796907400"/>
        <c:scaling>
          <c:orientation val="minMax"/>
          <c:max val="20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Årsresultat til fordeling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6908712"/>
        <c:crossesAt val="0"/>
        <c:crossBetween val="midCat"/>
      </c:valAx>
      <c:valAx>
        <c:axId val="796908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Skattebeløp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6907400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SKATTEKART</a:t>
            </a:r>
            <a:br>
              <a:rPr lang="en-US" b="1">
                <a:latin typeface="+mn-lt"/>
              </a:rPr>
            </a:br>
            <a:r>
              <a:rPr lang="en-US" sz="1200" b="1">
                <a:latin typeface="+mn-lt"/>
              </a:rPr>
              <a:t>Lønnsskatt inkl. AGA vs</a:t>
            </a:r>
            <a:r>
              <a:rPr lang="en-US" sz="1200" b="1" baseline="0">
                <a:latin typeface="+mn-lt"/>
              </a:rPr>
              <a:t> selskapsskatt og utbytteskatt</a:t>
            </a:r>
            <a:endParaRPr lang="en-US" b="1">
              <a:latin typeface="+mn-lt"/>
            </a:endParaRPr>
          </a:p>
        </c:rich>
      </c:tx>
      <c:layout>
        <c:manualLayout>
          <c:xMode val="edge"/>
          <c:yMode val="edge"/>
          <c:x val="0.33685470220745017"/>
          <c:y val="1.3676364260772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492026367991126E-2"/>
          <c:y val="0.15169118494334552"/>
          <c:w val="0.91589832211567612"/>
          <c:h val="0.71881006458888796"/>
        </c:manualLayout>
      </c:layout>
      <c:lineChart>
        <c:grouping val="standard"/>
        <c:varyColors val="0"/>
        <c:ser>
          <c:idx val="0"/>
          <c:order val="0"/>
          <c:tx>
            <c:strRef>
              <c:f>'Diagram marginalskatt'!$D$3</c:f>
              <c:strCache>
                <c:ptCount val="1"/>
                <c:pt idx="0">
                  <c:v>Marginalskatt inkl. AGA</c:v>
                </c:pt>
              </c:strCache>
            </c:strRef>
          </c:tx>
          <c:spPr>
            <a:ln w="28575" cap="rnd">
              <a:solidFill>
                <a:srgbClr val="0098CB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marginalskatt'!$D$4:$D$23</c:f>
              <c:numCache>
                <c:formatCode>0.00%</c:formatCode>
                <c:ptCount val="20"/>
                <c:pt idx="0">
                  <c:v>0.1236</c:v>
                </c:pt>
                <c:pt idx="1">
                  <c:v>0.1236</c:v>
                </c:pt>
                <c:pt idx="2">
                  <c:v>0.1236</c:v>
                </c:pt>
                <c:pt idx="3">
                  <c:v>0.19289999999999999</c:v>
                </c:pt>
                <c:pt idx="4">
                  <c:v>0.19289999999999999</c:v>
                </c:pt>
                <c:pt idx="5">
                  <c:v>0.21909999999999999</c:v>
                </c:pt>
                <c:pt idx="6">
                  <c:v>0.31180000000000002</c:v>
                </c:pt>
                <c:pt idx="7">
                  <c:v>0.31180000000000002</c:v>
                </c:pt>
                <c:pt idx="8">
                  <c:v>0.31180000000000002</c:v>
                </c:pt>
                <c:pt idx="9">
                  <c:v>0.36899999999999999</c:v>
                </c:pt>
                <c:pt idx="10">
                  <c:v>0.42070000000000002</c:v>
                </c:pt>
                <c:pt idx="11">
                  <c:v>0.42070000000000002</c:v>
                </c:pt>
                <c:pt idx="12">
                  <c:v>0.50390000000000001</c:v>
                </c:pt>
                <c:pt idx="13">
                  <c:v>0.50390000000000001</c:v>
                </c:pt>
                <c:pt idx="14">
                  <c:v>0.52479999999999993</c:v>
                </c:pt>
                <c:pt idx="15">
                  <c:v>0.52479999999999993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0.55840000000000001</c:v>
                </c:pt>
                <c:pt idx="19">
                  <c:v>0.55840000000000001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7-4E07-9FF0-D797DFF03DB8}"/>
            </c:ext>
          </c:extLst>
        </c:ser>
        <c:ser>
          <c:idx val="1"/>
          <c:order val="1"/>
          <c:spPr>
            <a:ln w="28575" cap="rnd">
              <a:solidFill>
                <a:srgbClr val="FF6532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FF653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437-4E07-9FF0-D797DFF03DB8}"/>
              </c:ext>
            </c:extLst>
          </c:dPt>
          <c:dLbls>
            <c:delete val="1"/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marginalskatt'!$E$4:$E$23</c:f>
              <c:numCache>
                <c:formatCode>0.00%</c:formatCode>
                <c:ptCount val="20"/>
                <c:pt idx="0">
                  <c:v>0.51519999999999999</c:v>
                </c:pt>
                <c:pt idx="1">
                  <c:v>0.51519999999999999</c:v>
                </c:pt>
                <c:pt idx="2">
                  <c:v>0.51519999999999999</c:v>
                </c:pt>
                <c:pt idx="3">
                  <c:v>0.51519999999999999</c:v>
                </c:pt>
                <c:pt idx="4">
                  <c:v>0.51519999999999999</c:v>
                </c:pt>
                <c:pt idx="5">
                  <c:v>0.51519999999999999</c:v>
                </c:pt>
                <c:pt idx="6">
                  <c:v>0.51519999999999999</c:v>
                </c:pt>
                <c:pt idx="7">
                  <c:v>0.51519999999999999</c:v>
                </c:pt>
                <c:pt idx="8">
                  <c:v>0.51519999999999999</c:v>
                </c:pt>
                <c:pt idx="9">
                  <c:v>0.51519999999999999</c:v>
                </c:pt>
                <c:pt idx="10">
                  <c:v>0.51519999999999999</c:v>
                </c:pt>
                <c:pt idx="11">
                  <c:v>0.51519999999999999</c:v>
                </c:pt>
                <c:pt idx="12">
                  <c:v>0.51519999999999999</c:v>
                </c:pt>
                <c:pt idx="13">
                  <c:v>0.51519999999999999</c:v>
                </c:pt>
                <c:pt idx="14">
                  <c:v>0.51519999999999999</c:v>
                </c:pt>
                <c:pt idx="15">
                  <c:v>0.51519999999999999</c:v>
                </c:pt>
                <c:pt idx="16">
                  <c:v>0.51519999999999999</c:v>
                </c:pt>
                <c:pt idx="17">
                  <c:v>0.51519999999999999</c:v>
                </c:pt>
                <c:pt idx="18">
                  <c:v>0.51519999999999999</c:v>
                </c:pt>
                <c:pt idx="19">
                  <c:v>0.51519999999999999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7-4E07-9FF0-D797DFF03DB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marginalskatt'!$F$4:$F$23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7-4E07-9FF0-D797DFF03D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30288296"/>
        <c:axId val="717684552"/>
      </c:lineChart>
      <c:dateAx>
        <c:axId val="7302882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7684552"/>
        <c:crosses val="autoZero"/>
        <c:auto val="0"/>
        <c:lblOffset val="100"/>
        <c:baseTimeUnit val="days"/>
      </c:dateAx>
      <c:valAx>
        <c:axId val="717684552"/>
        <c:scaling>
          <c:orientation val="minMax"/>
          <c:max val="0.700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 b="1">
                    <a:latin typeface="+mn-lt"/>
                  </a:rPr>
                  <a:t>Skattenivå i % </a:t>
                </a:r>
                <a:endParaRPr lang="nb-NO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3449223369691853E-2"/>
              <c:y val="0.45051835599649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3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02882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Marginalskatt inkl. AGA</a:t>
            </a:r>
          </a:p>
        </c:rich>
      </c:tx>
      <c:layout>
        <c:manualLayout>
          <c:xMode val="edge"/>
          <c:yMode val="edge"/>
          <c:x val="0.42241452491705861"/>
          <c:y val="3.5246486526201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492026367991126E-2"/>
          <c:y val="0.15169118494334552"/>
          <c:w val="0.91589832211567612"/>
          <c:h val="0.71881006458888796"/>
        </c:manualLayout>
      </c:layout>
      <c:lineChart>
        <c:grouping val="standard"/>
        <c:varyColors val="0"/>
        <c:ser>
          <c:idx val="0"/>
          <c:order val="0"/>
          <c:tx>
            <c:strRef>
              <c:f>'Diagram marginalskatt'!$D$3</c:f>
              <c:strCache>
                <c:ptCount val="1"/>
                <c:pt idx="0">
                  <c:v>Marginalskatt inkl. AGA</c:v>
                </c:pt>
              </c:strCache>
            </c:strRef>
          </c:tx>
          <c:spPr>
            <a:ln w="28575" cap="rnd">
              <a:solidFill>
                <a:srgbClr val="0098CB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marginalskatt'!$D$4:$D$23</c:f>
              <c:numCache>
                <c:formatCode>0.00%</c:formatCode>
                <c:ptCount val="20"/>
                <c:pt idx="0">
                  <c:v>0.1236</c:v>
                </c:pt>
                <c:pt idx="1">
                  <c:v>0.1236</c:v>
                </c:pt>
                <c:pt idx="2">
                  <c:v>0.1236</c:v>
                </c:pt>
                <c:pt idx="3">
                  <c:v>0.19289999999999999</c:v>
                </c:pt>
                <c:pt idx="4">
                  <c:v>0.19289999999999999</c:v>
                </c:pt>
                <c:pt idx="5">
                  <c:v>0.21909999999999999</c:v>
                </c:pt>
                <c:pt idx="6">
                  <c:v>0.31180000000000002</c:v>
                </c:pt>
                <c:pt idx="7">
                  <c:v>0.31180000000000002</c:v>
                </c:pt>
                <c:pt idx="8">
                  <c:v>0.31180000000000002</c:v>
                </c:pt>
                <c:pt idx="9">
                  <c:v>0.36899999999999999</c:v>
                </c:pt>
                <c:pt idx="10">
                  <c:v>0.42070000000000002</c:v>
                </c:pt>
                <c:pt idx="11">
                  <c:v>0.42070000000000002</c:v>
                </c:pt>
                <c:pt idx="12">
                  <c:v>0.50390000000000001</c:v>
                </c:pt>
                <c:pt idx="13">
                  <c:v>0.50390000000000001</c:v>
                </c:pt>
                <c:pt idx="14">
                  <c:v>0.52479999999999993</c:v>
                </c:pt>
                <c:pt idx="15">
                  <c:v>0.52479999999999993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0.55840000000000001</c:v>
                </c:pt>
                <c:pt idx="19">
                  <c:v>0.55840000000000001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B1FE-48BB-B3F0-1CD97DEDF68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FF653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3-481A-8F6A-0F99804EEFF1}"/>
              </c:ext>
            </c:extLst>
          </c:dPt>
          <c:dLbls>
            <c:delete val="1"/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marginalskatt'!$E$4:$E$23</c:f>
              <c:numCache>
                <c:formatCode>0.00%</c:formatCode>
                <c:ptCount val="20"/>
                <c:pt idx="0">
                  <c:v>0.51519999999999999</c:v>
                </c:pt>
                <c:pt idx="1">
                  <c:v>0.51519999999999999</c:v>
                </c:pt>
                <c:pt idx="2">
                  <c:v>0.51519999999999999</c:v>
                </c:pt>
                <c:pt idx="3">
                  <c:v>0.51519999999999999</c:v>
                </c:pt>
                <c:pt idx="4">
                  <c:v>0.51519999999999999</c:v>
                </c:pt>
                <c:pt idx="5">
                  <c:v>0.51519999999999999</c:v>
                </c:pt>
                <c:pt idx="6">
                  <c:v>0.51519999999999999</c:v>
                </c:pt>
                <c:pt idx="7">
                  <c:v>0.51519999999999999</c:v>
                </c:pt>
                <c:pt idx="8">
                  <c:v>0.51519999999999999</c:v>
                </c:pt>
                <c:pt idx="9">
                  <c:v>0.51519999999999999</c:v>
                </c:pt>
                <c:pt idx="10">
                  <c:v>0.51519999999999999</c:v>
                </c:pt>
                <c:pt idx="11">
                  <c:v>0.51519999999999999</c:v>
                </c:pt>
                <c:pt idx="12">
                  <c:v>0.51519999999999999</c:v>
                </c:pt>
                <c:pt idx="13">
                  <c:v>0.51519999999999999</c:v>
                </c:pt>
                <c:pt idx="14">
                  <c:v>0.51519999999999999</c:v>
                </c:pt>
                <c:pt idx="15">
                  <c:v>0.51519999999999999</c:v>
                </c:pt>
                <c:pt idx="16">
                  <c:v>0.51519999999999999</c:v>
                </c:pt>
                <c:pt idx="17">
                  <c:v>0.51519999999999999</c:v>
                </c:pt>
                <c:pt idx="18">
                  <c:v>0.51519999999999999</c:v>
                </c:pt>
                <c:pt idx="19">
                  <c:v>0.51519999999999999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2-496E-B74D-9E17D85E64B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'Diagram marginalskatt'!$B$4:$B$23</c:f>
              <c:numCache>
                <c:formatCode>#,##0</c:formatCode>
                <c:ptCount val="20"/>
                <c:pt idx="0">
                  <c:v>1</c:v>
                </c:pt>
                <c:pt idx="1">
                  <c:v>69650</c:v>
                </c:pt>
                <c:pt idx="2">
                  <c:v>69651</c:v>
                </c:pt>
                <c:pt idx="3">
                  <c:v>147400</c:v>
                </c:pt>
                <c:pt idx="4">
                  <c:v>147401</c:v>
                </c:pt>
                <c:pt idx="5">
                  <c:v>198350</c:v>
                </c:pt>
                <c:pt idx="6">
                  <c:v>198351</c:v>
                </c:pt>
                <c:pt idx="7">
                  <c:v>227070</c:v>
                </c:pt>
                <c:pt idx="8">
                  <c:v>227071</c:v>
                </c:pt>
                <c:pt idx="9">
                  <c:v>279150</c:v>
                </c:pt>
                <c:pt idx="10">
                  <c:v>279151</c:v>
                </c:pt>
                <c:pt idx="11">
                  <c:v>642950</c:v>
                </c:pt>
                <c:pt idx="12">
                  <c:v>642951</c:v>
                </c:pt>
                <c:pt idx="13">
                  <c:v>750000</c:v>
                </c:pt>
                <c:pt idx="14">
                  <c:v>750001</c:v>
                </c:pt>
                <c:pt idx="15">
                  <c:v>926800</c:v>
                </c:pt>
                <c:pt idx="16">
                  <c:v>926801</c:v>
                </c:pt>
                <c:pt idx="17">
                  <c:v>1500000</c:v>
                </c:pt>
                <c:pt idx="18">
                  <c:v>1500001</c:v>
                </c:pt>
                <c:pt idx="19">
                  <c:v>1680000</c:v>
                </c:pt>
              </c:numCache>
            </c:numRef>
          </c:cat>
          <c:val>
            <c:numRef>
              <c:f>'Diagram marginalskatt'!$F$4:$F$23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0E-4E8C-B5AD-6016B3F6FA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30288296"/>
        <c:axId val="717684552"/>
      </c:lineChart>
      <c:dateAx>
        <c:axId val="7302882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7684552"/>
        <c:crosses val="autoZero"/>
        <c:auto val="0"/>
        <c:lblOffset val="100"/>
        <c:baseTimeUnit val="days"/>
      </c:dateAx>
      <c:valAx>
        <c:axId val="71768455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STAR" panose="02000806030000020004" pitchFamily="50" charset="0"/>
                    <a:ea typeface="+mn-ea"/>
                    <a:cs typeface="+mn-cs"/>
                  </a:defRPr>
                </a:pPr>
                <a:r>
                  <a:rPr lang="nb-NO" sz="1100" b="1">
                    <a:latin typeface="TSTAR" panose="02000806030000020004" pitchFamily="50" charset="0"/>
                  </a:rPr>
                  <a:t>Skattenivå </a:t>
                </a:r>
                <a:endParaRPr lang="nb-NO" b="1">
                  <a:latin typeface="TSTAR" panose="02000806030000020004" pitchFamily="50" charset="0"/>
                </a:endParaRPr>
              </a:p>
            </c:rich>
          </c:tx>
          <c:layout>
            <c:manualLayout>
              <c:xMode val="edge"/>
              <c:yMode val="edge"/>
              <c:x val="1.6799286227835383E-2"/>
              <c:y val="0.4505183775233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STAR" panose="02000806030000020004" pitchFamily="50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STAR" panose="02000806030000020004" pitchFamily="50" charset="0"/>
                <a:ea typeface="+mn-ea"/>
                <a:cs typeface="+mn-cs"/>
              </a:defRPr>
            </a:pPr>
            <a:endParaRPr lang="nb-NO"/>
          </a:p>
        </c:txPr>
        <c:crossAx val="7302882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Skjæringspunkt for lønn vs</a:t>
            </a:r>
            <a:r>
              <a:rPr lang="nb-NO" baseline="0"/>
              <a:t> utbytte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750472004199942"/>
          <c:y val="0.19935808625124266"/>
          <c:w val="0.83700634043835731"/>
          <c:h val="0.674527637953071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Diagram!$C$2</c:f>
              <c:strCache>
                <c:ptCount val="1"/>
                <c:pt idx="0">
                  <c:v>Lønnsskatt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8-4430-8174-FA72E243CDAB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8-4430-8174-FA72E243CDAB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8-4430-8174-FA72E243CDAB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F8-4430-8174-FA72E243CDAB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F8-4430-8174-FA72E243CDAB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58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F8-4430-8174-FA72E243CDAB}"/>
              </c:ext>
            </c:extLst>
          </c:dPt>
          <c:xVal>
            <c:numRef>
              <c:f>Diagram!$A$3:$A$24</c:f>
              <c:numCache>
                <c:formatCode>#,##0</c:formatCode>
                <c:ptCount val="22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  <c:pt idx="7">
                  <c:v>350000</c:v>
                </c:pt>
                <c:pt idx="8">
                  <c:v>400000</c:v>
                </c:pt>
                <c:pt idx="9">
                  <c:v>450000</c:v>
                </c:pt>
                <c:pt idx="10">
                  <c:v>500000</c:v>
                </c:pt>
                <c:pt idx="11">
                  <c:v>550000</c:v>
                </c:pt>
                <c:pt idx="12">
                  <c:v>600000</c:v>
                </c:pt>
                <c:pt idx="13">
                  <c:v>650000</c:v>
                </c:pt>
                <c:pt idx="14">
                  <c:v>700000</c:v>
                </c:pt>
                <c:pt idx="15">
                  <c:v>750000</c:v>
                </c:pt>
                <c:pt idx="16">
                  <c:v>800000</c:v>
                </c:pt>
                <c:pt idx="17">
                  <c:v>850000</c:v>
                </c:pt>
                <c:pt idx="18">
                  <c:v>900000</c:v>
                </c:pt>
                <c:pt idx="19">
                  <c:v>950000</c:v>
                </c:pt>
                <c:pt idx="20">
                  <c:v>1000000</c:v>
                </c:pt>
                <c:pt idx="21">
                  <c:v>2000000</c:v>
                </c:pt>
              </c:numCache>
            </c:numRef>
          </c:xVal>
          <c:yVal>
            <c:numRef>
              <c:f>Diagram!$C$3:$C$24</c:f>
              <c:numCache>
                <c:formatCode>#,##0</c:formatCode>
                <c:ptCount val="22"/>
                <c:pt idx="1">
                  <c:v>7050</c:v>
                </c:pt>
                <c:pt idx="2">
                  <c:v>21688</c:v>
                </c:pt>
                <c:pt idx="3">
                  <c:v>33308</c:v>
                </c:pt>
                <c:pt idx="4">
                  <c:v>50276</c:v>
                </c:pt>
                <c:pt idx="5">
                  <c:v>70387</c:v>
                </c:pt>
                <c:pt idx="6">
                  <c:v>93717</c:v>
                </c:pt>
                <c:pt idx="7">
                  <c:v>117717</c:v>
                </c:pt>
                <c:pt idx="8">
                  <c:v>141717</c:v>
                </c:pt>
                <c:pt idx="9">
                  <c:v>165717</c:v>
                </c:pt>
                <c:pt idx="10">
                  <c:v>189717</c:v>
                </c:pt>
                <c:pt idx="11">
                  <c:v>213696</c:v>
                </c:pt>
                <c:pt idx="12">
                  <c:v>237717</c:v>
                </c:pt>
                <c:pt idx="13">
                  <c:v>262386</c:v>
                </c:pt>
                <c:pt idx="14">
                  <c:v>291136</c:v>
                </c:pt>
                <c:pt idx="15">
                  <c:v>319886</c:v>
                </c:pt>
                <c:pt idx="16">
                  <c:v>351136</c:v>
                </c:pt>
                <c:pt idx="17">
                  <c:v>382386</c:v>
                </c:pt>
                <c:pt idx="18">
                  <c:v>413636</c:v>
                </c:pt>
                <c:pt idx="19">
                  <c:v>445582</c:v>
                </c:pt>
                <c:pt idx="20">
                  <c:v>478332</c:v>
                </c:pt>
                <c:pt idx="21">
                  <c:v>1138332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4F8-4430-8174-FA72E243CDAB}"/>
            </c:ext>
          </c:extLst>
        </c:ser>
        <c:ser>
          <c:idx val="1"/>
          <c:order val="1"/>
          <c:tx>
            <c:strRef>
              <c:f>Diagram!$D$2</c:f>
              <c:strCache>
                <c:ptCount val="1"/>
                <c:pt idx="0">
                  <c:v>Utbytteskatt</c:v>
                </c:pt>
              </c:strCache>
            </c:strRef>
          </c:tx>
          <c:spPr>
            <a:ln w="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D4F8-4430-8174-FA72E243CDAB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D4F8-4430-8174-FA72E243CDAB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D4F8-4430-8174-FA72E243CDAB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4F8-4430-8174-FA72E243CDAB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D4F8-4430-8174-FA72E243CDAB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4F8-4430-8174-FA72E243CDAB}"/>
              </c:ext>
            </c:extLst>
          </c:dPt>
          <c:xVal>
            <c:numRef>
              <c:f>Diagram!$A$3:$A$24</c:f>
              <c:numCache>
                <c:formatCode>#,##0</c:formatCode>
                <c:ptCount val="22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  <c:pt idx="7">
                  <c:v>350000</c:v>
                </c:pt>
                <c:pt idx="8">
                  <c:v>400000</c:v>
                </c:pt>
                <c:pt idx="9">
                  <c:v>450000</c:v>
                </c:pt>
                <c:pt idx="10">
                  <c:v>500000</c:v>
                </c:pt>
                <c:pt idx="11">
                  <c:v>550000</c:v>
                </c:pt>
                <c:pt idx="12">
                  <c:v>600000</c:v>
                </c:pt>
                <c:pt idx="13">
                  <c:v>650000</c:v>
                </c:pt>
                <c:pt idx="14">
                  <c:v>700000</c:v>
                </c:pt>
                <c:pt idx="15">
                  <c:v>750000</c:v>
                </c:pt>
                <c:pt idx="16">
                  <c:v>800000</c:v>
                </c:pt>
                <c:pt idx="17">
                  <c:v>850000</c:v>
                </c:pt>
                <c:pt idx="18">
                  <c:v>900000</c:v>
                </c:pt>
                <c:pt idx="19">
                  <c:v>950000</c:v>
                </c:pt>
                <c:pt idx="20">
                  <c:v>1000000</c:v>
                </c:pt>
                <c:pt idx="21">
                  <c:v>2000000</c:v>
                </c:pt>
              </c:numCache>
            </c:numRef>
          </c:xVal>
          <c:yVal>
            <c:numRef>
              <c:f>Diagram!$D$3:$D$24</c:f>
              <c:numCache>
                <c:formatCode>#,##0</c:formatCode>
                <c:ptCount val="22"/>
                <c:pt idx="15">
                  <c:v>319866</c:v>
                </c:pt>
                <c:pt idx="16">
                  <c:v>350567</c:v>
                </c:pt>
                <c:pt idx="17">
                  <c:v>381247</c:v>
                </c:pt>
                <c:pt idx="18">
                  <c:v>411927</c:v>
                </c:pt>
                <c:pt idx="19">
                  <c:v>442607</c:v>
                </c:pt>
                <c:pt idx="20">
                  <c:v>473287</c:v>
                </c:pt>
                <c:pt idx="21">
                  <c:v>1086890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D4F8-4430-8174-FA72E243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131984"/>
        <c:axId val="677132312"/>
      </c:scatterChart>
      <c:valAx>
        <c:axId val="677131984"/>
        <c:scaling>
          <c:orientation val="minMax"/>
          <c:max val="20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LØNNSNIVÅ I KR</a:t>
                </a:r>
              </a:p>
            </c:rich>
          </c:tx>
          <c:layout>
            <c:manualLayout>
              <c:xMode val="edge"/>
              <c:yMode val="edge"/>
              <c:x val="0.49136344214901267"/>
              <c:y val="0.93319978385054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7132312"/>
        <c:crosses val="autoZero"/>
        <c:crossBetween val="midCat"/>
        <c:majorUnit val="250000"/>
      </c:valAx>
      <c:valAx>
        <c:axId val="67713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SKATTEBELASTNING I KR</a:t>
                </a:r>
              </a:p>
            </c:rich>
          </c:tx>
          <c:layout>
            <c:manualLayout>
              <c:xMode val="edge"/>
              <c:yMode val="edge"/>
              <c:x val="2.6866208320154485E-2"/>
              <c:y val="0.36356395707889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7131984"/>
        <c:crossesAt val="750000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133350</xdr:rowOff>
    </xdr:from>
    <xdr:to>
      <xdr:col>4</xdr:col>
      <xdr:colOff>0</xdr:colOff>
      <xdr:row>34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777D3B-17AB-F78A-B6CA-907C324C9E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28575</xdr:rowOff>
    </xdr:from>
    <xdr:to>
      <xdr:col>15</xdr:col>
      <xdr:colOff>495300</xdr:colOff>
      <xdr:row>43</xdr:row>
      <xdr:rowOff>1299</xdr:rowOff>
    </xdr:to>
    <xdr:grpSp>
      <xdr:nvGrpSpPr>
        <xdr:cNvPr id="31" name="Gruppe 30">
          <a:extLst>
            <a:ext uri="{FF2B5EF4-FFF2-40B4-BE49-F238E27FC236}">
              <a16:creationId xmlns:a16="http://schemas.microsoft.com/office/drawing/2014/main" id="{E14B2AC0-ED3B-B9A9-6D50-BCE7A18BA030}"/>
            </a:ext>
          </a:extLst>
        </xdr:cNvPr>
        <xdr:cNvGrpSpPr/>
      </xdr:nvGrpSpPr>
      <xdr:grpSpPr>
        <a:xfrm>
          <a:off x="5657850" y="2905125"/>
          <a:ext cx="11658600" cy="5887749"/>
          <a:chOff x="5657850" y="4572000"/>
          <a:chExt cx="11544300" cy="5906799"/>
        </a:xfrm>
      </xdr:grpSpPr>
      <xdr:graphicFrame macro="">
        <xdr:nvGraphicFramePr>
          <xdr:cNvPr id="14" name="Diagram 1">
            <a:extLst>
              <a:ext uri="{FF2B5EF4-FFF2-40B4-BE49-F238E27FC236}">
                <a16:creationId xmlns:a16="http://schemas.microsoft.com/office/drawing/2014/main" id="{55D237A5-4E65-4363-B4F5-13DAA639D0C3}"/>
              </a:ext>
            </a:extLst>
          </xdr:cNvPr>
          <xdr:cNvGraphicFramePr>
            <a:graphicFrameLocks/>
          </xdr:cNvGraphicFramePr>
        </xdr:nvGraphicFramePr>
        <xdr:xfrm>
          <a:off x="5657850" y="4572000"/>
          <a:ext cx="11544300" cy="59067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5" name="Rett linje 14">
            <a:extLst>
              <a:ext uri="{FF2B5EF4-FFF2-40B4-BE49-F238E27FC236}">
                <a16:creationId xmlns:a16="http://schemas.microsoft.com/office/drawing/2014/main" id="{78BE275A-6B2A-4BCF-86B0-E30D5116F73B}"/>
              </a:ext>
            </a:extLst>
          </xdr:cNvPr>
          <xdr:cNvCxnSpPr/>
        </xdr:nvCxnSpPr>
        <xdr:spPr>
          <a:xfrm flipV="1">
            <a:off x="10498390" y="6357072"/>
            <a:ext cx="8659" cy="3345271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Rett linje 15">
            <a:extLst>
              <a:ext uri="{FF2B5EF4-FFF2-40B4-BE49-F238E27FC236}">
                <a16:creationId xmlns:a16="http://schemas.microsoft.com/office/drawing/2014/main" id="{972B8BD3-EB94-479B-A8C6-25D9C3472377}"/>
              </a:ext>
            </a:extLst>
          </xdr:cNvPr>
          <xdr:cNvCxnSpPr/>
        </xdr:nvCxnSpPr>
        <xdr:spPr>
          <a:xfrm flipV="1">
            <a:off x="7355140" y="8158164"/>
            <a:ext cx="0" cy="1548000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Rett linje 19">
            <a:extLst>
              <a:ext uri="{FF2B5EF4-FFF2-40B4-BE49-F238E27FC236}">
                <a16:creationId xmlns:a16="http://schemas.microsoft.com/office/drawing/2014/main" id="{47A59AE8-D565-463B-8A02-F66F4ACF2397}"/>
              </a:ext>
            </a:extLst>
          </xdr:cNvPr>
          <xdr:cNvCxnSpPr/>
        </xdr:nvCxnSpPr>
        <xdr:spPr>
          <a:xfrm flipV="1">
            <a:off x="11178379" y="5833368"/>
            <a:ext cx="0" cy="3864463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Rett linje 16">
            <a:extLst>
              <a:ext uri="{FF2B5EF4-FFF2-40B4-BE49-F238E27FC236}">
                <a16:creationId xmlns:a16="http://schemas.microsoft.com/office/drawing/2014/main" id="{622CD4BE-E629-43CC-9A0B-DCE5B94A02CF}"/>
              </a:ext>
            </a:extLst>
          </xdr:cNvPr>
          <xdr:cNvCxnSpPr/>
        </xdr:nvCxnSpPr>
        <xdr:spPr>
          <a:xfrm flipV="1">
            <a:off x="7692845" y="7491413"/>
            <a:ext cx="0" cy="2196000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Rett linje 17">
            <a:extLst>
              <a:ext uri="{FF2B5EF4-FFF2-40B4-BE49-F238E27FC236}">
                <a16:creationId xmlns:a16="http://schemas.microsoft.com/office/drawing/2014/main" id="{24EDA851-FD69-4AC6-8231-441A26DA413F}"/>
              </a:ext>
            </a:extLst>
          </xdr:cNvPr>
          <xdr:cNvCxnSpPr/>
        </xdr:nvCxnSpPr>
        <xdr:spPr>
          <a:xfrm flipV="1">
            <a:off x="8203731" y="6876618"/>
            <a:ext cx="0" cy="2814818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Rett linje 21">
            <a:extLst>
              <a:ext uri="{FF2B5EF4-FFF2-40B4-BE49-F238E27FC236}">
                <a16:creationId xmlns:a16="http://schemas.microsoft.com/office/drawing/2014/main" id="{7525D870-4B04-405B-80CD-0F05F9AC35A7}"/>
              </a:ext>
            </a:extLst>
          </xdr:cNvPr>
          <xdr:cNvCxnSpPr/>
        </xdr:nvCxnSpPr>
        <xdr:spPr>
          <a:xfrm flipH="1" flipV="1">
            <a:off x="11787560" y="6315075"/>
            <a:ext cx="0" cy="3394716"/>
          </a:xfrm>
          <a:prstGeom prst="line">
            <a:avLst/>
          </a:prstGeom>
          <a:ln w="19050">
            <a:solidFill>
              <a:srgbClr val="9800AB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Rett linje 20">
            <a:extLst>
              <a:ext uri="{FF2B5EF4-FFF2-40B4-BE49-F238E27FC236}">
                <a16:creationId xmlns:a16="http://schemas.microsoft.com/office/drawing/2014/main" id="{D1F0BF3A-EBDD-4C1D-A9C0-1AB0C0BC00E9}"/>
              </a:ext>
            </a:extLst>
          </xdr:cNvPr>
          <xdr:cNvCxnSpPr/>
        </xdr:nvCxnSpPr>
        <xdr:spPr>
          <a:xfrm flipV="1">
            <a:off x="6887224" y="8729663"/>
            <a:ext cx="0" cy="972000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Rett linje 21">
            <a:extLst>
              <a:ext uri="{FF2B5EF4-FFF2-40B4-BE49-F238E27FC236}">
                <a16:creationId xmlns:a16="http://schemas.microsoft.com/office/drawing/2014/main" id="{EE836EB9-073F-44E7-BE2F-AB87BEB0FC58}"/>
              </a:ext>
            </a:extLst>
          </xdr:cNvPr>
          <xdr:cNvCxnSpPr/>
        </xdr:nvCxnSpPr>
        <xdr:spPr>
          <a:xfrm flipV="1">
            <a:off x="12290822" y="5555952"/>
            <a:ext cx="0" cy="415339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Rett linje 22">
            <a:extLst>
              <a:ext uri="{FF2B5EF4-FFF2-40B4-BE49-F238E27FC236}">
                <a16:creationId xmlns:a16="http://schemas.microsoft.com/office/drawing/2014/main" id="{15BBA615-0CBF-4841-9570-1C060EA7F8D1}"/>
              </a:ext>
            </a:extLst>
          </xdr:cNvPr>
          <xdr:cNvCxnSpPr/>
        </xdr:nvCxnSpPr>
        <xdr:spPr>
          <a:xfrm flipH="1" flipV="1">
            <a:off x="15894013" y="5229597"/>
            <a:ext cx="0" cy="4478443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Rett linje 23">
            <a:extLst>
              <a:ext uri="{FF2B5EF4-FFF2-40B4-BE49-F238E27FC236}">
                <a16:creationId xmlns:a16="http://schemas.microsoft.com/office/drawing/2014/main" id="{85901BBE-7916-416E-AFF1-DE925400168A}"/>
              </a:ext>
            </a:extLst>
          </xdr:cNvPr>
          <xdr:cNvCxnSpPr/>
        </xdr:nvCxnSpPr>
        <xdr:spPr>
          <a:xfrm>
            <a:off x="8791575" y="10112086"/>
            <a:ext cx="252000" cy="0"/>
          </a:xfrm>
          <a:prstGeom prst="line">
            <a:avLst/>
          </a:prstGeom>
          <a:ln w="22225">
            <a:solidFill>
              <a:srgbClr val="FF653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TekstSylinder 24">
            <a:extLst>
              <a:ext uri="{FF2B5EF4-FFF2-40B4-BE49-F238E27FC236}">
                <a16:creationId xmlns:a16="http://schemas.microsoft.com/office/drawing/2014/main" id="{C2AF85AD-A4DB-4B66-9BE3-F5264A6C43A2}"/>
              </a:ext>
            </a:extLst>
          </xdr:cNvPr>
          <xdr:cNvSpPr txBox="1"/>
        </xdr:nvSpPr>
        <xdr:spPr>
          <a:xfrm>
            <a:off x="9111962" y="9982200"/>
            <a:ext cx="1801091" cy="29440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b-NO" sz="1100">
                <a:latin typeface="+mn-lt"/>
              </a:rPr>
              <a:t>Selskaps-</a:t>
            </a:r>
            <a:r>
              <a:rPr lang="nb-NO" sz="1100" baseline="0">
                <a:latin typeface="+mn-lt"/>
              </a:rPr>
              <a:t> og utbytteskatt</a:t>
            </a:r>
            <a:endParaRPr lang="nb-NO" sz="1100">
              <a:latin typeface="+mn-lt"/>
            </a:endParaRPr>
          </a:p>
        </xdr:txBody>
      </xdr:sp>
      <xdr:cxnSp macro="">
        <xdr:nvCxnSpPr>
          <xdr:cNvPr id="26" name="Rett linje 25">
            <a:extLst>
              <a:ext uri="{FF2B5EF4-FFF2-40B4-BE49-F238E27FC236}">
                <a16:creationId xmlns:a16="http://schemas.microsoft.com/office/drawing/2014/main" id="{DA5E92D7-0890-4201-9D31-9CBB45342099}"/>
              </a:ext>
            </a:extLst>
          </xdr:cNvPr>
          <xdr:cNvCxnSpPr/>
        </xdr:nvCxnSpPr>
        <xdr:spPr>
          <a:xfrm>
            <a:off x="11013498" y="10112086"/>
            <a:ext cx="252000" cy="0"/>
          </a:xfrm>
          <a:prstGeom prst="line">
            <a:avLst/>
          </a:prstGeom>
          <a:ln w="22225">
            <a:solidFill>
              <a:srgbClr val="0098CB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kstSylinder 26">
            <a:extLst>
              <a:ext uri="{FF2B5EF4-FFF2-40B4-BE49-F238E27FC236}">
                <a16:creationId xmlns:a16="http://schemas.microsoft.com/office/drawing/2014/main" id="{3A68E01D-B2CD-429E-BAFB-AA297124ADB6}"/>
              </a:ext>
            </a:extLst>
          </xdr:cNvPr>
          <xdr:cNvSpPr txBox="1"/>
        </xdr:nvSpPr>
        <xdr:spPr>
          <a:xfrm>
            <a:off x="11333885" y="9982200"/>
            <a:ext cx="1688523" cy="29440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b-NO" sz="1100">
                <a:latin typeface="+mn-lt"/>
              </a:rPr>
              <a:t>AGA og lønnsskatt</a:t>
            </a:r>
          </a:p>
        </xdr:txBody>
      </xdr:sp>
      <xdr:cxnSp macro="">
        <xdr:nvCxnSpPr>
          <xdr:cNvPr id="28" name="Rett linje 32">
            <a:extLst>
              <a:ext uri="{FF2B5EF4-FFF2-40B4-BE49-F238E27FC236}">
                <a16:creationId xmlns:a16="http://schemas.microsoft.com/office/drawing/2014/main" id="{EF30C5E8-81F9-4B0F-B606-A9F197FF6584}"/>
              </a:ext>
            </a:extLst>
          </xdr:cNvPr>
          <xdr:cNvCxnSpPr/>
        </xdr:nvCxnSpPr>
        <xdr:spPr>
          <a:xfrm>
            <a:off x="12892521" y="10112086"/>
            <a:ext cx="216000" cy="0"/>
          </a:xfrm>
          <a:prstGeom prst="line">
            <a:avLst/>
          </a:prstGeom>
          <a:ln w="19050">
            <a:solidFill>
              <a:srgbClr val="9800AB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kstSylinder 28">
            <a:extLst>
              <a:ext uri="{FF2B5EF4-FFF2-40B4-BE49-F238E27FC236}">
                <a16:creationId xmlns:a16="http://schemas.microsoft.com/office/drawing/2014/main" id="{E2FFE291-1995-436B-885B-97BD7A3A1C59}"/>
              </a:ext>
            </a:extLst>
          </xdr:cNvPr>
          <xdr:cNvSpPr txBox="1"/>
        </xdr:nvSpPr>
        <xdr:spPr>
          <a:xfrm>
            <a:off x="13212908" y="9982200"/>
            <a:ext cx="1830531" cy="29440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b-NO" sz="1100">
                <a:latin typeface="+mn-lt"/>
              </a:rPr>
              <a:t>Maks</a:t>
            </a:r>
            <a:r>
              <a:rPr lang="nb-NO" sz="1100" baseline="0">
                <a:latin typeface="+mn-lt"/>
              </a:rPr>
              <a:t> pensjon (7,1G)</a:t>
            </a:r>
            <a:endParaRPr lang="nb-NO" sz="1100">
              <a:latin typeface="+mn-lt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0.64801</cdr:x>
      <cdr:y>0.22574</cdr:y>
    </cdr:from>
    <cdr:to>
      <cdr:x>0.64801</cdr:x>
      <cdr:y>0.81013</cdr:y>
    </cdr:to>
    <cdr:cxnSp macro="">
      <cdr:nvCxnSpPr>
        <cdr:cNvPr id="5" name="Rett linje 4">
          <a:extLst xmlns:a="http://schemas.openxmlformats.org/drawingml/2006/main">
            <a:ext uri="{FF2B5EF4-FFF2-40B4-BE49-F238E27FC236}">
              <a16:creationId xmlns:a16="http://schemas.microsoft.com/office/drawing/2014/main" id="{66B84651-51EF-329D-B805-80B8251947FA}"/>
            </a:ext>
          </a:extLst>
        </cdr:cNvPr>
        <cdr:cNvCxnSpPr/>
      </cdr:nvCxnSpPr>
      <cdr:spPr>
        <a:xfrm xmlns:a="http://schemas.openxmlformats.org/drawingml/2006/main" flipH="1">
          <a:off x="4962525" y="1019175"/>
          <a:ext cx="0" cy="26384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0.53607</cdr:x>
      <cdr:y>0.14979</cdr:y>
    </cdr:from>
    <cdr:to>
      <cdr:x>0.75124</cdr:x>
      <cdr:y>0.22574</cdr:y>
    </cdr:to>
    <cdr:sp macro="" textlink="">
      <cdr:nvSpPr>
        <cdr:cNvPr id="6" name="TekstSylinder 5">
          <a:extLst xmlns:a="http://schemas.openxmlformats.org/drawingml/2006/main">
            <a:ext uri="{FF2B5EF4-FFF2-40B4-BE49-F238E27FC236}">
              <a16:creationId xmlns:a16="http://schemas.microsoft.com/office/drawing/2014/main" id="{F3788FF4-8B17-34B9-2546-28238B21D937}"/>
            </a:ext>
          </a:extLst>
        </cdr:cNvPr>
        <cdr:cNvSpPr txBox="1"/>
      </cdr:nvSpPr>
      <cdr:spPr>
        <a:xfrm xmlns:a="http://schemas.openxmlformats.org/drawingml/2006/main">
          <a:off x="4105275" y="676275"/>
          <a:ext cx="1647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nb-NO" sz="1600"/>
            <a:t>1 263 717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0.07652</cdr:x>
      <cdr:y>0.07031</cdr:y>
    </cdr:from>
    <cdr:to>
      <cdr:x>0.93985</cdr:x>
      <cdr:y>0.69615</cdr:y>
    </cdr:to>
    <cdr:grpSp>
      <cdr:nvGrpSpPr>
        <cdr:cNvPr id="11" name="Gruppe 10">
          <a:extLst xmlns:a="http://schemas.openxmlformats.org/drawingml/2006/main">
            <a:ext uri="{FF2B5EF4-FFF2-40B4-BE49-F238E27FC236}">
              <a16:creationId xmlns:a16="http://schemas.microsoft.com/office/drawing/2014/main" id="{11756139-F705-A17A-7F90-D833C10B4A76}"/>
            </a:ext>
          </a:extLst>
        </cdr:cNvPr>
        <cdr:cNvGrpSpPr/>
      </cdr:nvGrpSpPr>
      <cdr:grpSpPr>
        <a:xfrm xmlns:a="http://schemas.openxmlformats.org/drawingml/2006/main">
          <a:off x="892116" y="413968"/>
          <a:ext cx="10065219" cy="3684788"/>
          <a:chOff x="883370" y="388519"/>
          <a:chExt cx="9966540" cy="3458284"/>
        </a:xfrm>
      </cdr:grpSpPr>
      <cdr:sp macro="" textlink="">
        <cdr:nvSpPr>
          <cdr:cNvPr id="2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55DD250A-CAAE-E065-62ED-36ECB5848A33}"/>
              </a:ext>
            </a:extLst>
          </cdr:cNvPr>
          <cdr:cNvSpPr txBox="1"/>
        </cdr:nvSpPr>
        <cdr:spPr>
          <a:xfrm xmlns:a="http://schemas.openxmlformats.org/drawingml/2006/main">
            <a:off x="883370" y="3621626"/>
            <a:ext cx="735949" cy="2251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nb-NO" sz="1050">
                <a:latin typeface="+mn-lt"/>
              </a:rPr>
              <a:t>69 650 kr</a:t>
            </a:r>
          </a:p>
        </cdr:txBody>
      </cdr:sp>
      <cdr:sp macro="" textlink="">
        <cdr:nvSpPr>
          <cdr:cNvPr id="3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3B3617D7-7D18-5F8C-6F52-43D52DDD38D2}"/>
              </a:ext>
            </a:extLst>
          </cdr:cNvPr>
          <cdr:cNvSpPr txBox="1"/>
        </cdr:nvSpPr>
        <cdr:spPr>
          <a:xfrm xmlns:a="http://schemas.openxmlformats.org/drawingml/2006/main">
            <a:off x="1307621" y="3175904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147 400 kr</a:t>
            </a:r>
          </a:p>
        </cdr:txBody>
      </cdr:sp>
      <cdr:sp macro="" textlink="">
        <cdr:nvSpPr>
          <cdr:cNvPr id="4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92350181-210B-C71B-32C5-0A91AFAC6BD3}"/>
              </a:ext>
            </a:extLst>
          </cdr:cNvPr>
          <cdr:cNvSpPr txBox="1"/>
        </cdr:nvSpPr>
        <cdr:spPr>
          <a:xfrm xmlns:a="http://schemas.openxmlformats.org/drawingml/2006/main">
            <a:off x="1661342" y="2514443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198 350 kr</a:t>
            </a:r>
          </a:p>
        </cdr:txBody>
      </cdr:sp>
      <cdr:sp macro="" textlink="">
        <cdr:nvSpPr>
          <cdr:cNvPr id="5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AB432FE2-F7E7-36E8-4E83-C4FEF4A6F8F3}"/>
              </a:ext>
            </a:extLst>
          </cdr:cNvPr>
          <cdr:cNvSpPr txBox="1"/>
        </cdr:nvSpPr>
        <cdr:spPr>
          <a:xfrm xmlns:a="http://schemas.openxmlformats.org/drawingml/2006/main">
            <a:off x="2172291" y="1973097"/>
            <a:ext cx="786744" cy="22517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279 150 kr</a:t>
            </a:r>
          </a:p>
        </cdr:txBody>
      </cdr:sp>
      <cdr:sp macro="" textlink="">
        <cdr:nvSpPr>
          <cdr:cNvPr id="6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6B0077ED-1632-CA35-D67D-B6ACB006D0DD}"/>
              </a:ext>
            </a:extLst>
          </cdr:cNvPr>
          <cdr:cNvSpPr txBox="1"/>
        </cdr:nvSpPr>
        <cdr:spPr>
          <a:xfrm xmlns:a="http://schemas.openxmlformats.org/drawingml/2006/main">
            <a:off x="4440977" y="1444941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642</a:t>
            </a:r>
            <a:r>
              <a:rPr lang="nb-NO" sz="1050" baseline="0">
                <a:latin typeface="+mn-lt"/>
              </a:rPr>
              <a:t> 950 </a:t>
            </a:r>
            <a:r>
              <a:rPr lang="nb-NO" sz="1050">
                <a:latin typeface="+mn-lt"/>
              </a:rPr>
              <a:t>kr</a:t>
            </a:r>
          </a:p>
        </cdr:txBody>
      </cdr:sp>
      <cdr:sp macro="" textlink="">
        <cdr:nvSpPr>
          <cdr:cNvPr id="8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5D825E81-5532-FB6B-24FA-D54A2615A343}"/>
              </a:ext>
            </a:extLst>
          </cdr:cNvPr>
          <cdr:cNvSpPr txBox="1"/>
        </cdr:nvSpPr>
        <cdr:spPr>
          <a:xfrm xmlns:a="http://schemas.openxmlformats.org/drawingml/2006/main">
            <a:off x="6233345" y="648291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926 800 kr</a:t>
            </a:r>
          </a:p>
        </cdr:txBody>
      </cdr:sp>
      <cdr:sp macro="" textlink="">
        <cdr:nvSpPr>
          <cdr:cNvPr id="7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0C24288B-7B70-BE77-C95D-B43BDD7D14C0}"/>
              </a:ext>
            </a:extLst>
          </cdr:cNvPr>
          <cdr:cNvSpPr txBox="1"/>
        </cdr:nvSpPr>
        <cdr:spPr>
          <a:xfrm xmlns:a="http://schemas.openxmlformats.org/drawingml/2006/main">
            <a:off x="5135634" y="881033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750 000 kr</a:t>
            </a:r>
          </a:p>
        </cdr:txBody>
      </cdr:sp>
      <cdr:sp macro="" textlink="">
        <cdr:nvSpPr>
          <cdr:cNvPr id="10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44055ACA-FAE7-2ECB-00EA-84D4C1689FC7}"/>
              </a:ext>
            </a:extLst>
          </cdr:cNvPr>
          <cdr:cNvSpPr txBox="1"/>
        </cdr:nvSpPr>
        <cdr:spPr>
          <a:xfrm xmlns:a="http://schemas.openxmlformats.org/drawingml/2006/main">
            <a:off x="9594352" y="388519"/>
            <a:ext cx="1255558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+mn-lt"/>
              </a:rPr>
              <a:t>1 500 000 kr</a:t>
            </a:r>
          </a:p>
        </cdr:txBody>
      </cdr:sp>
      <cdr:sp macro="" textlink="">
        <cdr:nvSpPr>
          <cdr:cNvPr id="9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7F78FDAF-D735-ED14-43CA-B0C2BEC86589}"/>
              </a:ext>
            </a:extLst>
          </cdr:cNvPr>
          <cdr:cNvSpPr txBox="1"/>
        </cdr:nvSpPr>
        <cdr:spPr>
          <a:xfrm xmlns:a="http://schemas.openxmlformats.org/drawingml/2006/main">
            <a:off x="5722443" y="1246783"/>
            <a:ext cx="786629" cy="378572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800AB"/>
          </a:solidFill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200" b="1">
                <a:solidFill>
                  <a:schemeClr val="bg1"/>
                </a:solidFill>
                <a:latin typeface="+mn-lt"/>
              </a:rPr>
              <a:t>7,1G</a:t>
            </a:r>
            <a:br>
              <a:rPr lang="nb-NO" sz="1050">
                <a:solidFill>
                  <a:schemeClr val="bg1"/>
                </a:solidFill>
                <a:latin typeface="+mn-lt"/>
              </a:rPr>
            </a:br>
            <a:r>
              <a:rPr lang="nb-NO" sz="1050">
                <a:solidFill>
                  <a:schemeClr val="bg1"/>
                </a:solidFill>
                <a:latin typeface="+mn-lt"/>
              </a:rPr>
              <a:t>842 202 kr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363682</xdr:colOff>
      <xdr:row>5</xdr:row>
      <xdr:rowOff>25976</xdr:rowOff>
    </xdr:from>
    <xdr:to>
      <xdr:col>19</xdr:col>
      <xdr:colOff>363682</xdr:colOff>
      <xdr:row>26</xdr:row>
      <xdr:rowOff>165476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EA1DF20D-ADC1-4084-BBAE-F1F9DD89659D}"/>
            </a:ext>
          </a:extLst>
        </xdr:cNvPr>
        <xdr:cNvCxnSpPr/>
      </xdr:nvCxnSpPr>
      <xdr:spPr>
        <a:xfrm flipH="1" flipV="1">
          <a:off x="15110114" y="978476"/>
          <a:ext cx="0" cy="4140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34528</xdr:colOff>
      <xdr:row>1</xdr:row>
      <xdr:rowOff>128587</xdr:rowOff>
    </xdr:from>
    <xdr:to>
      <xdr:col>21</xdr:col>
      <xdr:colOff>148828</xdr:colOff>
      <xdr:row>30</xdr:row>
      <xdr:rowOff>129886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79BC2E1-E9EE-4673-A34F-256411379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303068</xdr:colOff>
      <xdr:row>9</xdr:row>
      <xdr:rowOff>8659</xdr:rowOff>
    </xdr:from>
    <xdr:to>
      <xdr:col>12</xdr:col>
      <xdr:colOff>311727</xdr:colOff>
      <xdr:row>26</xdr:row>
      <xdr:rowOff>115430</xdr:rowOff>
    </xdr:to>
    <xdr:cxnSp macro="">
      <xdr:nvCxnSpPr>
        <xdr:cNvPr id="8" name="Rett linje 7">
          <a:extLst>
            <a:ext uri="{FF2B5EF4-FFF2-40B4-BE49-F238E27FC236}">
              <a16:creationId xmlns:a16="http://schemas.microsoft.com/office/drawing/2014/main" id="{5D509410-7743-4229-B41D-3D54D48F8DD0}"/>
            </a:ext>
          </a:extLst>
        </xdr:cNvPr>
        <xdr:cNvCxnSpPr/>
      </xdr:nvCxnSpPr>
      <xdr:spPr>
        <a:xfrm flipV="1">
          <a:off x="10209068" y="2104159"/>
          <a:ext cx="8659" cy="3345271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207818</xdr:colOff>
      <xdr:row>18</xdr:row>
      <xdr:rowOff>95251</xdr:rowOff>
    </xdr:from>
    <xdr:to>
      <xdr:col>8</xdr:col>
      <xdr:colOff>207818</xdr:colOff>
      <xdr:row>26</xdr:row>
      <xdr:rowOff>119251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F9BC33B2-4C75-4C8A-8EAA-880FAA6E9345}"/>
            </a:ext>
          </a:extLst>
        </xdr:cNvPr>
        <xdr:cNvCxnSpPr/>
      </xdr:nvCxnSpPr>
      <xdr:spPr>
        <a:xfrm flipV="1">
          <a:off x="7065818" y="3905251"/>
          <a:ext cx="0" cy="1548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545523</xdr:colOff>
      <xdr:row>15</xdr:row>
      <xdr:rowOff>0</xdr:rowOff>
    </xdr:from>
    <xdr:to>
      <xdr:col>8</xdr:col>
      <xdr:colOff>545523</xdr:colOff>
      <xdr:row>26</xdr:row>
      <xdr:rowOff>100500</xdr:rowOff>
    </xdr:to>
    <xdr:cxnSp macro="">
      <xdr:nvCxnSpPr>
        <xdr:cNvPr id="11" name="Rett linje 10">
          <a:extLst>
            <a:ext uri="{FF2B5EF4-FFF2-40B4-BE49-F238E27FC236}">
              <a16:creationId xmlns:a16="http://schemas.microsoft.com/office/drawing/2014/main" id="{70F3D848-E81F-4A4D-9353-6857C5BAC8CF}"/>
            </a:ext>
          </a:extLst>
        </xdr:cNvPr>
        <xdr:cNvCxnSpPr/>
      </xdr:nvCxnSpPr>
      <xdr:spPr>
        <a:xfrm flipV="1">
          <a:off x="7403523" y="3238500"/>
          <a:ext cx="0" cy="2196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294409</xdr:colOff>
      <xdr:row>11</xdr:row>
      <xdr:rowOff>147205</xdr:rowOff>
    </xdr:from>
    <xdr:to>
      <xdr:col>9</xdr:col>
      <xdr:colOff>294409</xdr:colOff>
      <xdr:row>26</xdr:row>
      <xdr:rowOff>104523</xdr:rowOff>
    </xdr:to>
    <xdr:cxnSp macro="">
      <xdr:nvCxnSpPr>
        <xdr:cNvPr id="12" name="Rett linje 11">
          <a:extLst>
            <a:ext uri="{FF2B5EF4-FFF2-40B4-BE49-F238E27FC236}">
              <a16:creationId xmlns:a16="http://schemas.microsoft.com/office/drawing/2014/main" id="{B6A58593-539E-4225-BA14-9EE05C6B2675}"/>
            </a:ext>
          </a:extLst>
        </xdr:cNvPr>
        <xdr:cNvCxnSpPr/>
      </xdr:nvCxnSpPr>
      <xdr:spPr>
        <a:xfrm flipV="1">
          <a:off x="7914409" y="2623705"/>
          <a:ext cx="0" cy="2814818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389659</xdr:colOff>
      <xdr:row>10</xdr:row>
      <xdr:rowOff>34637</xdr:rowOff>
    </xdr:from>
    <xdr:to>
      <xdr:col>13</xdr:col>
      <xdr:colOff>389659</xdr:colOff>
      <xdr:row>26</xdr:row>
      <xdr:rowOff>122878</xdr:rowOff>
    </xdr:to>
    <xdr:cxnSp macro="">
      <xdr:nvCxnSpPr>
        <xdr:cNvPr id="3" name="Rett linje 21">
          <a:extLst>
            <a:ext uri="{FF2B5EF4-FFF2-40B4-BE49-F238E27FC236}">
              <a16:creationId xmlns:a16="http://schemas.microsoft.com/office/drawing/2014/main" id="{6440EC5D-3BE0-47FC-B158-07BC77BDB181}"/>
            </a:ext>
          </a:extLst>
        </xdr:cNvPr>
        <xdr:cNvCxnSpPr/>
      </xdr:nvCxnSpPr>
      <xdr:spPr>
        <a:xfrm flipV="1">
          <a:off x="11057659" y="2320637"/>
          <a:ext cx="0" cy="3136241"/>
        </a:xfrm>
        <a:prstGeom prst="line">
          <a:avLst/>
        </a:prstGeom>
        <a:ln w="19050">
          <a:solidFill>
            <a:srgbClr val="9800AB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216477</xdr:colOff>
      <xdr:row>5</xdr:row>
      <xdr:rowOff>95251</xdr:rowOff>
    </xdr:from>
    <xdr:to>
      <xdr:col>13</xdr:col>
      <xdr:colOff>225136</xdr:colOff>
      <xdr:row>26</xdr:row>
      <xdr:rowOff>117681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A72B745C-F725-4353-A565-2B36321E4D51}"/>
            </a:ext>
          </a:extLst>
        </xdr:cNvPr>
        <xdr:cNvCxnSpPr/>
      </xdr:nvCxnSpPr>
      <xdr:spPr>
        <a:xfrm flipV="1">
          <a:off x="10884477" y="1428751"/>
          <a:ext cx="8659" cy="402293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501902</xdr:colOff>
      <xdr:row>21</xdr:row>
      <xdr:rowOff>95250</xdr:rowOff>
    </xdr:from>
    <xdr:to>
      <xdr:col>7</xdr:col>
      <xdr:colOff>501902</xdr:colOff>
      <xdr:row>26</xdr:row>
      <xdr:rowOff>114750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AB69EDCD-23E8-419A-A25C-39AA74DCC899}"/>
            </a:ext>
          </a:extLst>
        </xdr:cNvPr>
        <xdr:cNvCxnSpPr/>
      </xdr:nvCxnSpPr>
      <xdr:spPr>
        <a:xfrm flipV="1">
          <a:off x="6597902" y="4476750"/>
          <a:ext cx="0" cy="972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571500</xdr:colOff>
      <xdr:row>5</xdr:row>
      <xdr:rowOff>17318</xdr:rowOff>
    </xdr:from>
    <xdr:to>
      <xdr:col>14</xdr:col>
      <xdr:colOff>571500</xdr:colOff>
      <xdr:row>26</xdr:row>
      <xdr:rowOff>120818</xdr:rowOff>
    </xdr:to>
    <xdr:cxnSp macro="">
      <xdr:nvCxnSpPr>
        <xdr:cNvPr id="15" name="Rett linje 14">
          <a:extLst>
            <a:ext uri="{FF2B5EF4-FFF2-40B4-BE49-F238E27FC236}">
              <a16:creationId xmlns:a16="http://schemas.microsoft.com/office/drawing/2014/main" id="{9CA958B4-F610-4A61-AF72-4F69E7BD1712}"/>
            </a:ext>
          </a:extLst>
        </xdr:cNvPr>
        <xdr:cNvCxnSpPr/>
      </xdr:nvCxnSpPr>
      <xdr:spPr>
        <a:xfrm flipV="1">
          <a:off x="12001500" y="1350818"/>
          <a:ext cx="0" cy="4104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268431</xdr:colOff>
      <xdr:row>28</xdr:row>
      <xdr:rowOff>188767</xdr:rowOff>
    </xdr:from>
    <xdr:to>
      <xdr:col>9</xdr:col>
      <xdr:colOff>520431</xdr:colOff>
      <xdr:row>28</xdr:row>
      <xdr:rowOff>188767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ECDF0F35-0E35-27CD-1B27-D10844A4B97D}"/>
            </a:ext>
          </a:extLst>
        </xdr:cNvPr>
        <xdr:cNvCxnSpPr/>
      </xdr:nvCxnSpPr>
      <xdr:spPr>
        <a:xfrm>
          <a:off x="7394863" y="5522767"/>
          <a:ext cx="252000" cy="0"/>
        </a:xfrm>
        <a:prstGeom prst="line">
          <a:avLst/>
        </a:prstGeom>
        <a:ln w="22225">
          <a:solidFill>
            <a:srgbClr val="FF653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588818</xdr:colOff>
      <xdr:row>28</xdr:row>
      <xdr:rowOff>58881</xdr:rowOff>
    </xdr:from>
    <xdr:to>
      <xdr:col>12</xdr:col>
      <xdr:colOff>103909</xdr:colOff>
      <xdr:row>29</xdr:row>
      <xdr:rowOff>162790</xdr:rowOff>
    </xdr:to>
    <xdr:sp macro="" textlink="">
      <xdr:nvSpPr>
        <xdr:cNvPr id="30" name="TekstSylinder 29">
          <a:extLst>
            <a:ext uri="{FF2B5EF4-FFF2-40B4-BE49-F238E27FC236}">
              <a16:creationId xmlns:a16="http://schemas.microsoft.com/office/drawing/2014/main" id="{209FF8C5-B77B-24F8-D7B9-460B5CD21E95}"/>
            </a:ext>
          </a:extLst>
        </xdr:cNvPr>
        <xdr:cNvSpPr txBox="1"/>
      </xdr:nvSpPr>
      <xdr:spPr>
        <a:xfrm>
          <a:off x="7715250" y="5392881"/>
          <a:ext cx="1801091" cy="29440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TSTAR" panose="02000806030000020004" pitchFamily="50" charset="0"/>
            </a:rPr>
            <a:t>Selskaps-</a:t>
          </a:r>
          <a:r>
            <a:rPr lang="nb-NO" sz="1100" baseline="0">
              <a:latin typeface="TSTAR" panose="02000806030000020004" pitchFamily="50" charset="0"/>
            </a:rPr>
            <a:t> og utbytteskatt</a:t>
          </a:r>
          <a:endParaRPr lang="nb-NO" sz="1100">
            <a:latin typeface="TSTAR" panose="02000806030000020004" pitchFamily="50" charset="0"/>
          </a:endParaRPr>
        </a:p>
      </xdr:txBody>
    </xdr:sp>
    <xdr:clientData/>
  </xdr:twoCellAnchor>
  <xdr:twoCellAnchor>
    <xdr:from>
      <xdr:col>12</xdr:col>
      <xdr:colOff>204354</xdr:colOff>
      <xdr:row>28</xdr:row>
      <xdr:rowOff>188767</xdr:rowOff>
    </xdr:from>
    <xdr:to>
      <xdr:col>12</xdr:col>
      <xdr:colOff>456354</xdr:colOff>
      <xdr:row>28</xdr:row>
      <xdr:rowOff>188767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FE81CDD0-C37E-4BB0-9026-CCF6A3E569BC}"/>
            </a:ext>
          </a:extLst>
        </xdr:cNvPr>
        <xdr:cNvCxnSpPr/>
      </xdr:nvCxnSpPr>
      <xdr:spPr>
        <a:xfrm>
          <a:off x="9616786" y="5522767"/>
          <a:ext cx="252000" cy="0"/>
        </a:xfrm>
        <a:prstGeom prst="line">
          <a:avLst/>
        </a:prstGeom>
        <a:ln w="22225">
          <a:solidFill>
            <a:srgbClr val="0098CB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524741</xdr:colOff>
      <xdr:row>28</xdr:row>
      <xdr:rowOff>58881</xdr:rowOff>
    </xdr:from>
    <xdr:to>
      <xdr:col>14</xdr:col>
      <xdr:colOff>689264</xdr:colOff>
      <xdr:row>29</xdr:row>
      <xdr:rowOff>162790</xdr:rowOff>
    </xdr:to>
    <xdr:sp macro="" textlink="">
      <xdr:nvSpPr>
        <xdr:cNvPr id="32" name="TekstSylinder 31">
          <a:extLst>
            <a:ext uri="{FF2B5EF4-FFF2-40B4-BE49-F238E27FC236}">
              <a16:creationId xmlns:a16="http://schemas.microsoft.com/office/drawing/2014/main" id="{298386BC-8719-4D67-95FD-9F381C5172EA}"/>
            </a:ext>
          </a:extLst>
        </xdr:cNvPr>
        <xdr:cNvSpPr txBox="1"/>
      </xdr:nvSpPr>
      <xdr:spPr>
        <a:xfrm>
          <a:off x="9937173" y="5392881"/>
          <a:ext cx="1688523" cy="29440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TSTAR" panose="02000806030000020004" pitchFamily="50" charset="0"/>
            </a:rPr>
            <a:t>AGA og lønnsskatt</a:t>
          </a:r>
        </a:p>
      </xdr:txBody>
    </xdr:sp>
    <xdr:clientData/>
  </xdr:twoCellAnchor>
  <xdr:twoCellAnchor>
    <xdr:from>
      <xdr:col>14</xdr:col>
      <xdr:colOff>559377</xdr:colOff>
      <xdr:row>28</xdr:row>
      <xdr:rowOff>188767</xdr:rowOff>
    </xdr:from>
    <xdr:to>
      <xdr:col>15</xdr:col>
      <xdr:colOff>13377</xdr:colOff>
      <xdr:row>28</xdr:row>
      <xdr:rowOff>188767</xdr:rowOff>
    </xdr:to>
    <xdr:cxnSp macro="">
      <xdr:nvCxnSpPr>
        <xdr:cNvPr id="5" name="Rett linje 32">
          <a:extLst>
            <a:ext uri="{FF2B5EF4-FFF2-40B4-BE49-F238E27FC236}">
              <a16:creationId xmlns:a16="http://schemas.microsoft.com/office/drawing/2014/main" id="{EF443388-C0C3-4FDA-A4FE-1622BDDBC2AC}"/>
            </a:ext>
          </a:extLst>
        </xdr:cNvPr>
        <xdr:cNvCxnSpPr/>
      </xdr:nvCxnSpPr>
      <xdr:spPr>
        <a:xfrm>
          <a:off x="11495809" y="5522767"/>
          <a:ext cx="216000" cy="0"/>
        </a:xfrm>
        <a:prstGeom prst="line">
          <a:avLst/>
        </a:prstGeom>
        <a:ln w="19050">
          <a:solidFill>
            <a:srgbClr val="9800AB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117764</xdr:colOff>
      <xdr:row>28</xdr:row>
      <xdr:rowOff>58881</xdr:rowOff>
    </xdr:from>
    <xdr:to>
      <xdr:col>17</xdr:col>
      <xdr:colOff>424295</xdr:colOff>
      <xdr:row>29</xdr:row>
      <xdr:rowOff>162790</xdr:rowOff>
    </xdr:to>
    <xdr:sp macro="" textlink="">
      <xdr:nvSpPr>
        <xdr:cNvPr id="34" name="TekstSylinder 33">
          <a:extLst>
            <a:ext uri="{FF2B5EF4-FFF2-40B4-BE49-F238E27FC236}">
              <a16:creationId xmlns:a16="http://schemas.microsoft.com/office/drawing/2014/main" id="{D792E158-742E-47B1-93F5-669155779381}"/>
            </a:ext>
          </a:extLst>
        </xdr:cNvPr>
        <xdr:cNvSpPr txBox="1"/>
      </xdr:nvSpPr>
      <xdr:spPr>
        <a:xfrm>
          <a:off x="11816196" y="5392881"/>
          <a:ext cx="1830531" cy="29440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TSTAR" panose="02000806030000020004" pitchFamily="50" charset="0"/>
            </a:rPr>
            <a:t>Maks</a:t>
          </a:r>
          <a:r>
            <a:rPr lang="nb-NO" sz="1100" baseline="0">
              <a:latin typeface="TSTAR" panose="02000806030000020004" pitchFamily="50" charset="0"/>
            </a:rPr>
            <a:t> alderspensjon (7,1G)</a:t>
          </a:r>
          <a:endParaRPr lang="nb-NO" sz="1100">
            <a:latin typeface="TSTAR" panose="02000806030000020004" pitchFamily="50" charset="0"/>
          </a:endParaRPr>
        </a:p>
      </xdr:txBody>
    </xdr:sp>
    <xdr:clientData/>
  </xdr:twoCellAnchor>
  <xdr:twoCellAnchor>
    <xdr:from>
      <xdr:col>19</xdr:col>
      <xdr:colOff>355023</xdr:colOff>
      <xdr:row>3</xdr:row>
      <xdr:rowOff>43295</xdr:rowOff>
    </xdr:from>
    <xdr:to>
      <xdr:col>19</xdr:col>
      <xdr:colOff>363681</xdr:colOff>
      <xdr:row>26</xdr:row>
      <xdr:rowOff>118027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59652829-F8A1-44D0-9DC5-4DDF43CF085D}"/>
            </a:ext>
          </a:extLst>
        </xdr:cNvPr>
        <xdr:cNvCxnSpPr/>
      </xdr:nvCxnSpPr>
      <xdr:spPr>
        <a:xfrm flipH="1" flipV="1">
          <a:off x="15595023" y="995795"/>
          <a:ext cx="8658" cy="4456232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216477</xdr:colOff>
      <xdr:row>7</xdr:row>
      <xdr:rowOff>138546</xdr:rowOff>
    </xdr:from>
    <xdr:to>
      <xdr:col>13</xdr:col>
      <xdr:colOff>216477</xdr:colOff>
      <xdr:row>8</xdr:row>
      <xdr:rowOff>92046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8DCD430C-BC88-4022-99D9-138527675A3E}"/>
            </a:ext>
          </a:extLst>
        </xdr:cNvPr>
        <xdr:cNvCxnSpPr/>
      </xdr:nvCxnSpPr>
      <xdr:spPr>
        <a:xfrm flipV="1">
          <a:off x="10390909" y="1472046"/>
          <a:ext cx="0" cy="144000"/>
        </a:xfrm>
        <a:prstGeom prst="line">
          <a:avLst/>
        </a:prstGeom>
        <a:ln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0.07652</cdr:x>
      <cdr:y>0.07031</cdr:y>
    </cdr:from>
    <cdr:to>
      <cdr:x>0.93985</cdr:x>
      <cdr:y>0.69615</cdr:y>
    </cdr:to>
    <cdr:grpSp>
      <cdr:nvGrpSpPr>
        <cdr:cNvPr id="11" name="Gruppe 10">
          <a:extLst xmlns:a="http://schemas.openxmlformats.org/drawingml/2006/main">
            <a:ext uri="{FF2B5EF4-FFF2-40B4-BE49-F238E27FC236}">
              <a16:creationId xmlns:a16="http://schemas.microsoft.com/office/drawing/2014/main" id="{11756139-F705-A17A-7F90-D833C10B4A76}"/>
            </a:ext>
          </a:extLst>
        </cdr:cNvPr>
        <cdr:cNvGrpSpPr/>
      </cdr:nvGrpSpPr>
      <cdr:grpSpPr>
        <a:xfrm xmlns:a="http://schemas.openxmlformats.org/drawingml/2006/main">
          <a:off x="883370" y="415307"/>
          <a:ext cx="9966540" cy="3696711"/>
          <a:chOff x="883370" y="388519"/>
          <a:chExt cx="9966540" cy="3458284"/>
        </a:xfrm>
      </cdr:grpSpPr>
      <cdr:sp macro="" textlink="">
        <cdr:nvSpPr>
          <cdr:cNvPr id="2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55DD250A-CAAE-E065-62ED-36ECB5848A33}"/>
              </a:ext>
            </a:extLst>
          </cdr:cNvPr>
          <cdr:cNvSpPr txBox="1"/>
        </cdr:nvSpPr>
        <cdr:spPr>
          <a:xfrm xmlns:a="http://schemas.openxmlformats.org/drawingml/2006/main">
            <a:off x="883370" y="3621626"/>
            <a:ext cx="735949" cy="2251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69 650 kr</a:t>
            </a:r>
          </a:p>
        </cdr:txBody>
      </cdr:sp>
      <cdr:sp macro="" textlink="">
        <cdr:nvSpPr>
          <cdr:cNvPr id="3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3B3617D7-7D18-5F8C-6F52-43D52DDD38D2}"/>
              </a:ext>
            </a:extLst>
          </cdr:cNvPr>
          <cdr:cNvSpPr txBox="1"/>
        </cdr:nvSpPr>
        <cdr:spPr>
          <a:xfrm xmlns:a="http://schemas.openxmlformats.org/drawingml/2006/main">
            <a:off x="1307621" y="3175904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147 400 kr</a:t>
            </a:r>
          </a:p>
        </cdr:txBody>
      </cdr:sp>
      <cdr:sp macro="" textlink="">
        <cdr:nvSpPr>
          <cdr:cNvPr id="4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92350181-210B-C71B-32C5-0A91AFAC6BD3}"/>
              </a:ext>
            </a:extLst>
          </cdr:cNvPr>
          <cdr:cNvSpPr txBox="1"/>
        </cdr:nvSpPr>
        <cdr:spPr>
          <a:xfrm xmlns:a="http://schemas.openxmlformats.org/drawingml/2006/main">
            <a:off x="1661342" y="2514443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198 350 kr</a:t>
            </a:r>
          </a:p>
        </cdr:txBody>
      </cdr:sp>
      <cdr:sp macro="" textlink="">
        <cdr:nvSpPr>
          <cdr:cNvPr id="5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AB432FE2-F7E7-36E8-4E83-C4FEF4A6F8F3}"/>
              </a:ext>
            </a:extLst>
          </cdr:cNvPr>
          <cdr:cNvSpPr txBox="1"/>
        </cdr:nvSpPr>
        <cdr:spPr>
          <a:xfrm xmlns:a="http://schemas.openxmlformats.org/drawingml/2006/main">
            <a:off x="2172291" y="1973097"/>
            <a:ext cx="786744" cy="22517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279 150 kr</a:t>
            </a:r>
          </a:p>
        </cdr:txBody>
      </cdr:sp>
      <cdr:sp macro="" textlink="">
        <cdr:nvSpPr>
          <cdr:cNvPr id="6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6B0077ED-1632-CA35-D67D-B6ACB006D0DD}"/>
              </a:ext>
            </a:extLst>
          </cdr:cNvPr>
          <cdr:cNvSpPr txBox="1"/>
        </cdr:nvSpPr>
        <cdr:spPr>
          <a:xfrm xmlns:a="http://schemas.openxmlformats.org/drawingml/2006/main">
            <a:off x="4440977" y="1444941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642</a:t>
            </a:r>
            <a:r>
              <a:rPr lang="nb-NO" sz="1050" baseline="0">
                <a:latin typeface="TSTAR" panose="02000806030000020004" pitchFamily="50" charset="0"/>
              </a:rPr>
              <a:t> 950 </a:t>
            </a:r>
            <a:r>
              <a:rPr lang="nb-NO" sz="1050">
                <a:latin typeface="TSTAR" panose="02000806030000020004" pitchFamily="50" charset="0"/>
              </a:rPr>
              <a:t>kr</a:t>
            </a:r>
          </a:p>
        </cdr:txBody>
      </cdr:sp>
      <cdr:sp macro="" textlink="">
        <cdr:nvSpPr>
          <cdr:cNvPr id="8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5D825E81-5532-FB6B-24FA-D54A2615A343}"/>
              </a:ext>
            </a:extLst>
          </cdr:cNvPr>
          <cdr:cNvSpPr txBox="1"/>
        </cdr:nvSpPr>
        <cdr:spPr>
          <a:xfrm xmlns:a="http://schemas.openxmlformats.org/drawingml/2006/main">
            <a:off x="6233345" y="648291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926 800 kr</a:t>
            </a:r>
          </a:p>
        </cdr:txBody>
      </cdr:sp>
      <cdr:sp macro="" textlink="">
        <cdr:nvSpPr>
          <cdr:cNvPr id="7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0C24288B-7B70-BE77-C95D-B43BDD7D14C0}"/>
              </a:ext>
            </a:extLst>
          </cdr:cNvPr>
          <cdr:cNvSpPr txBox="1"/>
        </cdr:nvSpPr>
        <cdr:spPr>
          <a:xfrm xmlns:a="http://schemas.openxmlformats.org/drawingml/2006/main">
            <a:off x="5116318" y="916695"/>
            <a:ext cx="786744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750 000 kr</a:t>
            </a:r>
          </a:p>
        </cdr:txBody>
      </cdr:sp>
      <cdr:sp macro="" textlink="">
        <cdr:nvSpPr>
          <cdr:cNvPr id="10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44055ACA-FAE7-2ECB-00EA-84D4C1689FC7}"/>
              </a:ext>
            </a:extLst>
          </cdr:cNvPr>
          <cdr:cNvSpPr txBox="1"/>
        </cdr:nvSpPr>
        <cdr:spPr>
          <a:xfrm xmlns:a="http://schemas.openxmlformats.org/drawingml/2006/main">
            <a:off x="9594352" y="388519"/>
            <a:ext cx="1255558" cy="225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050">
                <a:latin typeface="TSTAR" panose="02000806030000020004" pitchFamily="50" charset="0"/>
              </a:rPr>
              <a:t>1 500 000 kr</a:t>
            </a:r>
          </a:p>
        </cdr:txBody>
      </cdr:sp>
      <cdr:sp macro="" textlink="">
        <cdr:nvSpPr>
          <cdr:cNvPr id="9" name="TekstSylinder 1">
            <a:extLst xmlns:a="http://schemas.openxmlformats.org/drawingml/2006/main">
              <a:ext uri="{FF2B5EF4-FFF2-40B4-BE49-F238E27FC236}">
                <a16:creationId xmlns:a16="http://schemas.microsoft.com/office/drawing/2014/main" id="{7F78FDAF-D735-ED14-43CA-B0C2BEC86589}"/>
              </a:ext>
            </a:extLst>
          </cdr:cNvPr>
          <cdr:cNvSpPr txBox="1"/>
        </cdr:nvSpPr>
        <cdr:spPr>
          <a:xfrm xmlns:a="http://schemas.openxmlformats.org/drawingml/2006/main">
            <a:off x="5298258" y="1291481"/>
            <a:ext cx="786629" cy="378572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800AB"/>
          </a:solidFill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nb-NO" sz="1200" b="1">
                <a:solidFill>
                  <a:schemeClr val="bg1"/>
                </a:solidFill>
                <a:latin typeface="TSTAR" panose="02000806030000020004" pitchFamily="50" charset="0"/>
              </a:rPr>
              <a:t>7,1G</a:t>
            </a:r>
            <a:br>
              <a:rPr lang="nb-NO" sz="1050">
                <a:solidFill>
                  <a:schemeClr val="bg1"/>
                </a:solidFill>
                <a:latin typeface="TSTAR" panose="02000806030000020004" pitchFamily="50" charset="0"/>
              </a:rPr>
            </a:br>
            <a:r>
              <a:rPr lang="nb-NO" sz="1050">
                <a:solidFill>
                  <a:schemeClr val="bg1"/>
                </a:solidFill>
                <a:latin typeface="TSTAR" panose="02000806030000020004" pitchFamily="50" charset="0"/>
              </a:rPr>
              <a:t>791 487 kr</a:t>
            </a: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0</xdr:row>
      <xdr:rowOff>171450</xdr:rowOff>
    </xdr:from>
    <xdr:to>
      <xdr:col>15</xdr:col>
      <xdr:colOff>685800</xdr:colOff>
      <xdr:row>28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E5107D-42ED-42F4-B802-36E99AAAF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vein Austheim" id="{E3B91B73-1415-4CCC-8243-6D9022C35776}" userId="S::Svein.Austheim@regnskapnorge.no::51414100-e317-44f8-9a37-9d44d870c091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3-03-10T09:37:01.69" personId="{E3B91B73-1415-4CCC-8243-6D9022C35776}" id="{72248041-9A96-4C66-BF47-333858B9A948}">
    <text>Minstebeløp for trygdeavgift</text>
  </threadedComment>
  <threadedComment ref="E8" dT="2023-03-10T09:37:16.10" personId="{E3B91B73-1415-4CCC-8243-6D9022C35776}" id="{F0E04469-259B-4719-BFA1-14D1223BE6CB}">
    <text>Skattebegrensningsregel</text>
  </threadedComment>
  <threadedComment ref="E10" dT="2023-03-10T09:50:20.65" personId="{E3B91B73-1415-4CCC-8243-6D9022C35776}" id="{C038D5A2-44C8-4040-AE77-8FBC4102F0E9}">
    <text>Optimalt minstefradrag (104 450)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E392-6E7F-47A2-80F5-AA174B9B64A5}">
  <dimension ref="B1:V45"/>
  <sheetViews>
    <sheetView showGridLines="0" tabSelected="1" zoomScaleNormal="100" workbookViewId="0">
      <selection activeCell="C5" sqref="C5"/>
    </sheetView>
  </sheetViews>
  <sheetFormatPr baseColWidth="10" defaultRowHeight="15" x14ac:dyDescent="0.25"/>
  <cols>
    <col min="2" max="2" width="40.42578125" customWidth="1"/>
    <col min="3" max="3" width="16.5703125" style="1" customWidth="1"/>
    <col min="4" max="4" width="9.7109375" style="1" customWidth="1"/>
    <col min="5" max="5" width="6.7109375" customWidth="1"/>
    <col min="6" max="6" width="13.140625" bestFit="1" customWidth="1"/>
    <col min="7" max="7" width="23.5703125" customWidth="1"/>
    <col min="8" max="8" width="14" style="15" customWidth="1"/>
    <col min="9" max="9" width="23.5703125" customWidth="1"/>
    <col min="10" max="10" width="17.5703125" customWidth="1"/>
    <col min="11" max="11" width="17.7109375" customWidth="1"/>
    <col min="12" max="12" width="23.5703125" style="11" customWidth="1"/>
    <col min="16" max="16" width="9.5703125" customWidth="1"/>
    <col min="17" max="17" width="4.28515625" customWidth="1"/>
    <col min="18" max="18" width="6.7109375" customWidth="1"/>
    <col min="19" max="19" width="25.5703125" style="7" customWidth="1"/>
    <col min="20" max="20" width="13.42578125" style="7" customWidth="1"/>
    <col min="21" max="21" width="14.5703125" style="7" customWidth="1"/>
    <col min="22" max="22" width="5" style="7" customWidth="1"/>
  </cols>
  <sheetData>
    <row r="1" spans="2:22" x14ac:dyDescent="0.25">
      <c r="E1" s="1"/>
    </row>
    <row r="2" spans="2:22" x14ac:dyDescent="0.25">
      <c r="E2" s="1"/>
    </row>
    <row r="3" spans="2:22" ht="18.75" x14ac:dyDescent="0.3">
      <c r="B3" s="38" t="s">
        <v>53</v>
      </c>
      <c r="D3" s="41"/>
      <c r="F3" s="49" t="s">
        <v>52</v>
      </c>
      <c r="G3" s="50"/>
      <c r="H3" s="51"/>
      <c r="I3" s="50"/>
      <c r="J3" s="50"/>
      <c r="K3" s="50"/>
      <c r="L3" s="52"/>
      <c r="Q3" s="47"/>
      <c r="S3" s="69" t="s">
        <v>54</v>
      </c>
      <c r="T3" s="70"/>
      <c r="U3" s="70"/>
      <c r="V3" s="9"/>
    </row>
    <row r="4" spans="2:22" ht="16.5" thickBot="1" x14ac:dyDescent="0.3">
      <c r="B4" s="48"/>
      <c r="D4" s="41"/>
      <c r="F4" s="50"/>
      <c r="G4" s="50"/>
      <c r="H4" s="51"/>
      <c r="I4" s="50"/>
      <c r="J4" s="50"/>
      <c r="K4" s="50"/>
      <c r="L4" s="52"/>
      <c r="Q4" s="47"/>
      <c r="S4" s="71"/>
      <c r="T4" s="70"/>
      <c r="U4" s="70"/>
      <c r="V4" s="9"/>
    </row>
    <row r="5" spans="2:22" ht="18" customHeight="1" thickBot="1" x14ac:dyDescent="0.3">
      <c r="B5" s="109" t="s">
        <v>62</v>
      </c>
      <c r="C5" s="113">
        <v>1000000</v>
      </c>
      <c r="D5" s="41"/>
      <c r="F5" s="53" t="s">
        <v>26</v>
      </c>
      <c r="G5" s="54" t="s">
        <v>65</v>
      </c>
      <c r="H5" s="55" t="s">
        <v>25</v>
      </c>
      <c r="I5" s="54" t="s">
        <v>41</v>
      </c>
      <c r="J5" s="97" t="s">
        <v>64</v>
      </c>
      <c r="K5" s="55" t="s">
        <v>42</v>
      </c>
      <c r="L5" s="56" t="s">
        <v>43</v>
      </c>
      <c r="Q5" s="47"/>
      <c r="S5" s="36"/>
      <c r="T5" s="37"/>
      <c r="U5" s="72" t="s">
        <v>4</v>
      </c>
      <c r="V5" s="9"/>
    </row>
    <row r="6" spans="2:22" ht="18" customHeight="1" x14ac:dyDescent="0.25">
      <c r="D6" s="42"/>
      <c r="F6" s="57">
        <f>IF(C10*(1+T25)&gt;U15*(1+T25),U15*(1+T25),C10*(1+T25))</f>
        <v>226317.35</v>
      </c>
      <c r="G6" s="58"/>
      <c r="H6" s="59">
        <f>F6/(1+T25)</f>
        <v>198350</v>
      </c>
      <c r="I6" s="58"/>
      <c r="J6" s="98">
        <f>IF(F6=0,0,L6/F6)</f>
        <v>0.21955444423505316</v>
      </c>
      <c r="K6" s="60"/>
      <c r="L6" s="61">
        <f>IF(C10&gt;U15,((U15-(U15*T9)-U6)*T12)+((U15*(1+T25))-U15)+(U15*T22),IF(C16-C17-C18&lt;=0,0,(C16-C17-C18)*T12)+IF(C16&lt;U22,0,IF((C16-U22)*0.25&lt;(C16*T22),(C16-U22)*0.25,C16*T22))+(C5-C10-C11))</f>
        <v>49688.98000000001</v>
      </c>
      <c r="N6" s="6"/>
      <c r="Q6" s="47"/>
      <c r="S6" s="73" t="s">
        <v>17</v>
      </c>
      <c r="T6" s="74"/>
      <c r="U6" s="75">
        <v>79600</v>
      </c>
      <c r="V6" s="9"/>
    </row>
    <row r="7" spans="2:22" ht="18" customHeight="1" x14ac:dyDescent="0.25">
      <c r="B7" s="92" t="s">
        <v>20</v>
      </c>
      <c r="C7" s="93">
        <f>IF(C5&gt;U26*(1+T25),(C5-(IF(C5&lt;=U26*(1+T25),C5/(1+T25),U26)*(1+T25)))/(1+T26),0)+IF(C5&lt;=U26*(1+T25),C5/(1+T25),U26)</f>
        <v>871116.70864819479</v>
      </c>
      <c r="D7" s="41"/>
      <c r="F7" s="62">
        <f>IF($C$10*(1+$T$25)&gt;U16*(1+$T$25),U16*(1+$T$25)-F6,IF(AND($C$10*(1+$T$25)&gt;U15*(1+$T$25),$C$10*(1+$T$25)&lt;=U16*(1+$T$25)),$C$10*(1+$T$25)-F6,0))</f>
        <v>92192.800000000017</v>
      </c>
      <c r="G7" s="63">
        <f>IF(F7=0,0,F6+F7)</f>
        <v>318510.15000000002</v>
      </c>
      <c r="H7" s="63">
        <f>F7/(1+$T$25)</f>
        <v>80800.000000000015</v>
      </c>
      <c r="I7" s="63">
        <f>IF(H7=0,0,H6+H7)</f>
        <v>279150</v>
      </c>
      <c r="J7" s="99">
        <f t="shared" ref="J7:J12" si="0">IF(F7=0,0,K7/F7)</f>
        <v>0.36900517177046382</v>
      </c>
      <c r="K7" s="63">
        <f t="shared" ref="K7:K12" si="1">IF(L7=0,0,L7-L6)</f>
        <v>34019.620000000024</v>
      </c>
      <c r="L7" s="64">
        <f>IF(C10&gt;U16,(((U16-U9-U6)*T12))+(U16*T22)+((U16*(1+T25))-U16)+((U16-U15)*T15),IF(AND(C16&gt;U15,C16&lt;=U16),((C16-C17-C18)*T12)+(C16*T22)+((C16-U15)*T15)+((C16*(1+T25))-C16),0))</f>
        <v>83708.600000000035</v>
      </c>
      <c r="N7" s="103"/>
      <c r="Q7" s="47"/>
      <c r="S7" s="76"/>
      <c r="T7" s="77"/>
      <c r="U7" s="77"/>
      <c r="V7" s="9"/>
    </row>
    <row r="8" spans="2:22" ht="18" customHeight="1" x14ac:dyDescent="0.25">
      <c r="B8" s="92" t="s">
        <v>44</v>
      </c>
      <c r="C8" s="94">
        <f>C5</f>
        <v>1000000</v>
      </c>
      <c r="D8" s="41"/>
      <c r="F8" s="62">
        <f>IF(C10*(1+T25)&gt;U17*(1+T25),U17*(1+T25)-F7-F6,IF(AND(C10*(1+T25)&gt;U16+(1*T25),C10*(1+T25)&lt;=U17*(1+T25)),C10*(1+T25)-F7-F6,0))</f>
        <v>415095.79999999993</v>
      </c>
      <c r="G8" s="63">
        <f t="shared" ref="G8:G9" si="2">IF(F8=0,0,G7+F8)</f>
        <v>733605.95</v>
      </c>
      <c r="H8" s="63">
        <f>F8/(1+$T$25)</f>
        <v>363799.99999999994</v>
      </c>
      <c r="I8" s="63">
        <f t="shared" ref="I8:I9" si="3">IF(H8=0,0,I7+H8)</f>
        <v>642950</v>
      </c>
      <c r="J8" s="99">
        <f t="shared" si="0"/>
        <v>0.42068361086765982</v>
      </c>
      <c r="K8" s="63">
        <f t="shared" si="1"/>
        <v>174623.99999999991</v>
      </c>
      <c r="L8" s="64">
        <f>IF(C10&gt;U17,((((U17-U9-U6)*T12)+(U17*T22)+(U16-U15)*T15)+(U17-U16)*T16)+(U17*(1+T25)-U17),IF(AND(C16&gt;U16,C16&lt;=U17),((C16-C17-C18)*T12)+(C16*T22)+((U16-U15)*T15)+((C16-U16)*T16)+((C16*(1+T25))-C16),0))</f>
        <v>258332.59999999995</v>
      </c>
      <c r="Q8" s="47"/>
      <c r="S8" s="36"/>
      <c r="T8" s="37" t="s">
        <v>2</v>
      </c>
      <c r="U8" s="72" t="s">
        <v>3</v>
      </c>
      <c r="V8" s="9"/>
    </row>
    <row r="9" spans="2:22" ht="18" customHeight="1" thickBot="1" x14ac:dyDescent="0.3">
      <c r="C9" s="2"/>
      <c r="D9" s="42"/>
      <c r="F9" s="62">
        <f>IF(C10*(1+T25)&gt;=U26*(1+T25),U26*(1+T25)-F8-F7-F6,IF(AND(C10*(1+T25)&gt;U17*(1+T25),C10*(1+T25)&lt;=U26*(1+T25)),C10*(1+T25)-F8-F7-F6,0))</f>
        <v>122144.05000000002</v>
      </c>
      <c r="G9" s="63">
        <f t="shared" si="2"/>
        <v>855750</v>
      </c>
      <c r="H9" s="63">
        <f>F9/(1+$T$25)</f>
        <v>107050.00000000001</v>
      </c>
      <c r="I9" s="63">
        <f t="shared" si="3"/>
        <v>750000</v>
      </c>
      <c r="J9" s="99">
        <f t="shared" si="0"/>
        <v>0.50394390885188445</v>
      </c>
      <c r="K9" s="63">
        <f t="shared" si="1"/>
        <v>61553.750000000029</v>
      </c>
      <c r="L9" s="64">
        <f>IF(C10&gt;U26,(U26-U9-U6)*T12+(U26*T22)+(U16-U15)*T15+(U17-U16)*T16+(U26-U17)*T17+(U26*(1+T25)-U26),IF(AND(C16&gt;U17,C16&lt;=U26),((C16-C17-C18)*T12)+(C16*T22)+(U16-U15)*T15+(U17-U16)*T16+(C16-U17)*T17+(C16*(1+T25)-C16),0))</f>
        <v>319886.34999999998</v>
      </c>
      <c r="Q9" s="47"/>
      <c r="S9" s="73" t="s">
        <v>1</v>
      </c>
      <c r="T9" s="74">
        <v>0.46</v>
      </c>
      <c r="U9" s="75">
        <v>104450</v>
      </c>
      <c r="V9" s="10"/>
    </row>
    <row r="10" spans="2:22" ht="18" customHeight="1" thickBot="1" x14ac:dyDescent="0.3">
      <c r="B10" s="110" t="s">
        <v>63</v>
      </c>
      <c r="C10" s="114">
        <v>842202</v>
      </c>
      <c r="D10" s="41"/>
      <c r="F10" s="62">
        <f>IF((C10-U26)*(1+T26)+U26*(1+T25)&gt;(U18-U26)*(1+T26)+U26*(1+T25),(U18-U26)*(1+T26)+U26*(1+T25)-F9-F8-F7-F6,IF(AND((C10-U26)*(1+T26)+U26*(1+T25)&gt;U26*(1+T25),(C10-U26)*(1+T26)+U26*(1+T25)&lt;=(U18-U26)*(1+T26)+U26*(1+T25)),(C10-U26)*(1+T26)+U26*(1+T25)-F9-F8-F7-F6,0))</f>
        <v>109812.58200000002</v>
      </c>
      <c r="G10" s="63">
        <f>IF(F10=0,0,G9+F10)</f>
        <v>965562.58200000005</v>
      </c>
      <c r="H10" s="63">
        <f>F10/(1+$T$26)</f>
        <v>92202.000000000015</v>
      </c>
      <c r="I10" s="63">
        <f>IF(H10=0,0,I9+H10)</f>
        <v>842202</v>
      </c>
      <c r="J10" s="99">
        <f t="shared" si="0"/>
        <v>0.52476910159529799</v>
      </c>
      <c r="K10" s="63">
        <f t="shared" si="1"/>
        <v>57626.25</v>
      </c>
      <c r="L10" s="64">
        <f>IF(C10&gt;U18,(U18-U9-U6)*T12+(U18*T22)+(U16-U15)*T15+(U17-U16)*T16+(U18-U17)*T17+(U26*T25)+(U18-U26)*T26,IF(AND(C16&gt;U26,C16&lt;=U18),((C16-C17-C18)*T12)+(C16*T22)+(U16-U15)*T15+(U17-U16)*T16+(C16-U17)*T17+(U26*T25)+(C16-U26)*T26,0))</f>
        <v>377512.6</v>
      </c>
      <c r="N10" s="103"/>
      <c r="Q10" s="47"/>
      <c r="S10" s="76"/>
      <c r="T10" s="77"/>
      <c r="U10" s="77"/>
      <c r="V10" s="10"/>
    </row>
    <row r="11" spans="2:22" ht="18" customHeight="1" x14ac:dyDescent="0.25">
      <c r="B11" s="111" t="s">
        <v>57</v>
      </c>
      <c r="C11" s="112">
        <f>IF(C10&gt;C7,0,C5-IF(C10&lt;=U26,C10*(1+T25),(U26*(1+T25)+(C10-U26)*(1+T26))))</f>
        <v>34437.417999999947</v>
      </c>
      <c r="D11" s="42"/>
      <c r="F11" s="62">
        <f>IF((C10-U26)*(1+T26)+U26*(1+T25)&gt;=(U19-U26)*(1+T26)+U26*(1+T25),(U19-U26)*(1+T26)+U26*(1+T25)-F10-F9-F8-F7-F6,(IF(AND((C10-U26)*(1+T26)+U26*(1+T25)&gt;U26*(1+T25)+(U18-U26*(1+T26)),(C10-U26)*(1+T26)+U26*(1+T25)&lt;=(U19-U26)*(1+T26)+U26*(1+T25)),(C10-U26)*(1+T26)+U26*(1+T25)-F10-F9-F8-F7-F6,0)))</f>
        <v>0</v>
      </c>
      <c r="G11" s="63">
        <f t="shared" ref="G11:G12" si="4">IF(F11=0,0,G10+F11)</f>
        <v>0</v>
      </c>
      <c r="H11" s="63">
        <f>F11/(1+$T$26)</f>
        <v>0</v>
      </c>
      <c r="I11" s="63">
        <f t="shared" ref="I11:I12" si="5">IF(H11=0,0,I10+H11)</f>
        <v>0</v>
      </c>
      <c r="J11" s="99">
        <f t="shared" si="0"/>
        <v>0</v>
      </c>
      <c r="K11" s="63">
        <f t="shared" si="1"/>
        <v>0</v>
      </c>
      <c r="L11" s="64">
        <f>IF(C10&gt;U19,(U19-U9-U6)*T12+(U19*T22)+(U16-U15)*T15+(U17-U16)*T16+(U18-U17)*T17+(U19-U18)*T18+(U26*T25)+(U19-U26)*T26,IF(AND(C16&gt;U18,C16&lt;=U19),((C16-C17-C18)*T12)+(C16*T22)+(U16-U15)*T15+(U17-U16)*T16+(U18-U17)*T17+(C16-U18)*T18+(U26*T25)+(C16-U26)*T26,0))</f>
        <v>0</v>
      </c>
      <c r="Q11" s="47"/>
      <c r="S11" s="36"/>
      <c r="T11" s="37" t="s">
        <v>2</v>
      </c>
      <c r="U11" s="78"/>
      <c r="V11" s="9"/>
    </row>
    <row r="12" spans="2:22" ht="18" customHeight="1" x14ac:dyDescent="0.25">
      <c r="D12" s="42"/>
      <c r="E12" s="6"/>
      <c r="F12" s="65">
        <f>IF((C10-U26)*(1+T26)+U26*(1+T25)&gt;(U19-U26)*(1+T26)+U26*(1+T25),(C10-U26)*(1+T26)+U26*(1+T25)-F11-F10-F9-F8-F7-F6,0)</f>
        <v>0</v>
      </c>
      <c r="G12" s="66">
        <f t="shared" si="4"/>
        <v>0</v>
      </c>
      <c r="H12" s="66">
        <f>F12/(1+$T$26)</f>
        <v>0</v>
      </c>
      <c r="I12" s="66">
        <f t="shared" si="5"/>
        <v>0</v>
      </c>
      <c r="J12" s="100">
        <f t="shared" si="0"/>
        <v>0</v>
      </c>
      <c r="K12" s="66">
        <f t="shared" si="1"/>
        <v>0</v>
      </c>
      <c r="L12" s="67">
        <f>IF(C10&gt;U19,((C16-C17-C18)*T12+(T22*C16)+(U16-U15)*T15+(U17-U16)*T16+(U18-U17)*T17+(U19-U18)*T18+(C16-U19)*T19)+(U26*(1+T25)-U26)+(C16-U26)*(1+T26)-(C16-U26),0)</f>
        <v>0</v>
      </c>
      <c r="Q12" s="47"/>
      <c r="S12" s="73" t="s">
        <v>7</v>
      </c>
      <c r="T12" s="74">
        <v>0.22</v>
      </c>
      <c r="U12" s="79"/>
      <c r="V12" s="9"/>
    </row>
    <row r="13" spans="2:22" ht="17.25" customHeight="1" thickBot="1" x14ac:dyDescent="0.35">
      <c r="B13" s="31" t="s">
        <v>58</v>
      </c>
      <c r="C13" s="32"/>
      <c r="D13" s="41"/>
      <c r="Q13" s="47"/>
      <c r="S13" s="76"/>
      <c r="T13" s="77"/>
      <c r="U13" s="77"/>
      <c r="V13" s="9"/>
    </row>
    <row r="14" spans="2:22" x14ac:dyDescent="0.25">
      <c r="D14" s="41"/>
      <c r="Q14" s="47"/>
      <c r="S14" s="36"/>
      <c r="T14" s="37" t="s">
        <v>2</v>
      </c>
      <c r="U14" s="72" t="s">
        <v>6</v>
      </c>
      <c r="V14" s="9"/>
    </row>
    <row r="15" spans="2:22" x14ac:dyDescent="0.25">
      <c r="B15" s="28" t="s">
        <v>45</v>
      </c>
      <c r="C15" s="27" t="s">
        <v>4</v>
      </c>
      <c r="D15" s="41"/>
      <c r="Q15" s="47"/>
      <c r="S15" s="80" t="s">
        <v>5</v>
      </c>
      <c r="T15" s="81">
        <v>1.7000000000000001E-2</v>
      </c>
      <c r="U15" s="82">
        <v>198350</v>
      </c>
      <c r="V15" s="9"/>
    </row>
    <row r="16" spans="2:22" x14ac:dyDescent="0.25">
      <c r="B16" t="s">
        <v>0</v>
      </c>
      <c r="C16" s="2">
        <f>C10</f>
        <v>842202</v>
      </c>
      <c r="D16" s="41"/>
      <c r="E16" s="1"/>
      <c r="Q16" s="47"/>
      <c r="S16" s="80" t="s">
        <v>8</v>
      </c>
      <c r="T16" s="81">
        <v>0.04</v>
      </c>
      <c r="U16" s="82">
        <v>279150</v>
      </c>
      <c r="V16" s="9"/>
    </row>
    <row r="17" spans="2:22" x14ac:dyDescent="0.25">
      <c r="B17" t="s">
        <v>1</v>
      </c>
      <c r="C17" s="2">
        <f>IF(C16*T9&gt;=U9,U9,C16*T9)</f>
        <v>104450</v>
      </c>
      <c r="D17" s="41"/>
      <c r="E17" s="1"/>
      <c r="Q17" s="47"/>
      <c r="S17" s="80" t="s">
        <v>9</v>
      </c>
      <c r="T17" s="81">
        <v>0.13500000000000001</v>
      </c>
      <c r="U17" s="82">
        <v>642950</v>
      </c>
      <c r="V17" s="9"/>
    </row>
    <row r="18" spans="2:22" x14ac:dyDescent="0.25">
      <c r="B18" t="s">
        <v>17</v>
      </c>
      <c r="C18" s="2">
        <v>79600</v>
      </c>
      <c r="D18" s="41"/>
      <c r="E18" s="16"/>
      <c r="Q18" s="47"/>
      <c r="S18" s="80" t="s">
        <v>10</v>
      </c>
      <c r="T18" s="81">
        <v>0.16500000000000001</v>
      </c>
      <c r="U18" s="82">
        <v>926800</v>
      </c>
      <c r="V18" s="9"/>
    </row>
    <row r="19" spans="2:22" x14ac:dyDescent="0.25">
      <c r="B19" s="29" t="s">
        <v>46</v>
      </c>
      <c r="C19" s="30">
        <f>IF(C16-C17-C18&lt;=0,0,C16-C17-C18)</f>
        <v>658152</v>
      </c>
      <c r="D19" s="41"/>
      <c r="E19" s="39"/>
      <c r="Q19" s="47"/>
      <c r="S19" s="73" t="s">
        <v>11</v>
      </c>
      <c r="T19" s="83">
        <v>0.17499999999999999</v>
      </c>
      <c r="U19" s="75">
        <v>1500000</v>
      </c>
      <c r="V19" s="9"/>
    </row>
    <row r="20" spans="2:22" x14ac:dyDescent="0.25">
      <c r="D20" s="43"/>
      <c r="E20" s="1"/>
      <c r="Q20" s="47"/>
      <c r="S20" s="76"/>
      <c r="T20" s="77"/>
      <c r="U20" s="77"/>
      <c r="V20" s="9"/>
    </row>
    <row r="21" spans="2:22" x14ac:dyDescent="0.25">
      <c r="B21" s="29" t="s">
        <v>48</v>
      </c>
      <c r="C21" s="30">
        <f>IF(C16&lt;U29,0,(C19)*T12)</f>
        <v>144793.44</v>
      </c>
      <c r="D21" s="41"/>
      <c r="E21" s="1"/>
      <c r="Q21" s="47"/>
      <c r="S21" s="36"/>
      <c r="T21" s="37" t="s">
        <v>13</v>
      </c>
      <c r="U21" s="72" t="s">
        <v>14</v>
      </c>
      <c r="V21" s="9"/>
    </row>
    <row r="22" spans="2:22" x14ac:dyDescent="0.25">
      <c r="D22" s="41"/>
      <c r="E22" s="40"/>
      <c r="Q22" s="47"/>
      <c r="S22" s="73" t="s">
        <v>12</v>
      </c>
      <c r="T22" s="83">
        <v>7.9000000000000001E-2</v>
      </c>
      <c r="U22" s="75">
        <v>69650</v>
      </c>
      <c r="V22" s="9"/>
    </row>
    <row r="23" spans="2:22" x14ac:dyDescent="0.25">
      <c r="B23" s="28" t="s">
        <v>47</v>
      </c>
      <c r="C23" s="17"/>
      <c r="D23" s="44"/>
      <c r="E23" s="1"/>
      <c r="Q23" s="47"/>
      <c r="S23" s="76"/>
      <c r="T23" s="77"/>
      <c r="U23" s="77"/>
      <c r="V23" s="9"/>
    </row>
    <row r="24" spans="2:22" x14ac:dyDescent="0.25">
      <c r="B24" t="s">
        <v>5</v>
      </c>
      <c r="C24" s="2">
        <f>IF(C16&lt;U15,0,IF(AND(C16&gt;=U15,C16&lt;=U16),C16-U15,IF(C16&gt;U16,U16-U15,0)))*T15</f>
        <v>1373.6000000000001</v>
      </c>
      <c r="D24" s="44"/>
      <c r="E24" s="1"/>
      <c r="Q24" s="47"/>
      <c r="S24" s="36"/>
      <c r="T24" s="37" t="s">
        <v>2</v>
      </c>
      <c r="U24" s="72" t="s">
        <v>6</v>
      </c>
      <c r="V24" s="9"/>
    </row>
    <row r="25" spans="2:22" x14ac:dyDescent="0.25">
      <c r="B25" t="s">
        <v>8</v>
      </c>
      <c r="C25" s="2">
        <f>IF(C16&lt;U16,0,IF(AND(C16&gt;U16,C16&lt;=U17),C16-U16,IF(C16&gt;U17,U17-U16,0)))*T16</f>
        <v>14552</v>
      </c>
      <c r="D25" s="44"/>
      <c r="E25" s="1"/>
      <c r="Q25" s="47"/>
      <c r="S25" s="84" t="s">
        <v>15</v>
      </c>
      <c r="T25" s="81">
        <v>0.14099999999999999</v>
      </c>
      <c r="U25" s="85">
        <v>1</v>
      </c>
      <c r="V25" s="9"/>
    </row>
    <row r="26" spans="2:22" x14ac:dyDescent="0.25">
      <c r="B26" t="s">
        <v>9</v>
      </c>
      <c r="C26" s="2">
        <f>IF($C$16&lt;U17,0,IF(AND($C$16&gt;U17,$C$16&lt;=U18),$C$16-U17,IF($C$16&gt;U18,U18-U17,0)))*T17</f>
        <v>26899.02</v>
      </c>
      <c r="D26" s="44"/>
      <c r="E26" s="1"/>
      <c r="Q26" s="47"/>
      <c r="S26" s="86" t="s">
        <v>16</v>
      </c>
      <c r="T26" s="83">
        <v>0.191</v>
      </c>
      <c r="U26" s="75">
        <v>750000</v>
      </c>
      <c r="V26" s="9"/>
    </row>
    <row r="27" spans="2:22" x14ac:dyDescent="0.25">
      <c r="B27" t="s">
        <v>10</v>
      </c>
      <c r="C27" s="2">
        <f>IF($C$16&lt;U18,0,IF(AND($C$16&gt;U18,$C$16&lt;=U19),$C$16-U18,IF($C$16&gt;U19,U19-U18,0)))*T18</f>
        <v>0</v>
      </c>
      <c r="D27" s="44"/>
      <c r="E27" s="1"/>
      <c r="F27" s="2"/>
      <c r="G27" s="2"/>
      <c r="H27" s="23"/>
      <c r="I27" s="6"/>
      <c r="J27" s="8"/>
      <c r="K27" s="8"/>
      <c r="Q27" s="47"/>
      <c r="S27" s="87"/>
      <c r="T27" s="88"/>
      <c r="U27" s="77"/>
      <c r="V27" s="9"/>
    </row>
    <row r="28" spans="2:22" x14ac:dyDescent="0.25">
      <c r="B28" s="4" t="s">
        <v>11</v>
      </c>
      <c r="C28" s="5">
        <f>IF(C16&lt;U19,0,(C16-U19))*T19</f>
        <v>0</v>
      </c>
      <c r="D28" s="44"/>
      <c r="E28" s="1"/>
      <c r="F28" s="2"/>
      <c r="G28" s="2"/>
      <c r="H28" s="23"/>
      <c r="I28" s="6"/>
      <c r="J28" s="8"/>
      <c r="K28" s="8"/>
      <c r="Q28" s="47"/>
      <c r="S28" s="36"/>
      <c r="T28" s="89"/>
      <c r="U28" s="72" t="s">
        <v>14</v>
      </c>
      <c r="V28" s="9"/>
    </row>
    <row r="29" spans="2:22" x14ac:dyDescent="0.25">
      <c r="B29" s="29" t="s">
        <v>49</v>
      </c>
      <c r="C29" s="30">
        <f>SUM(C24:C28)</f>
        <v>42824.62</v>
      </c>
      <c r="D29" s="41"/>
      <c r="E29" s="1"/>
      <c r="F29" s="2"/>
      <c r="G29" s="2"/>
      <c r="H29" s="23"/>
      <c r="I29" s="6"/>
      <c r="J29" s="8"/>
      <c r="K29" s="8"/>
      <c r="Q29" s="47"/>
      <c r="S29" s="73" t="s">
        <v>19</v>
      </c>
      <c r="T29" s="90"/>
      <c r="U29" s="75">
        <v>147400</v>
      </c>
      <c r="V29" s="9"/>
    </row>
    <row r="30" spans="2:22" ht="14.25" customHeight="1" x14ac:dyDescent="0.25">
      <c r="D30" s="44"/>
      <c r="F30" s="2"/>
      <c r="G30" s="2"/>
      <c r="H30" s="23"/>
      <c r="I30" s="6"/>
      <c r="J30" s="8"/>
      <c r="K30" s="8"/>
      <c r="Q30" s="47"/>
      <c r="S30" s="76"/>
      <c r="T30" s="77"/>
      <c r="U30" s="77"/>
      <c r="V30" s="9"/>
    </row>
    <row r="31" spans="2:22" ht="19.5" customHeight="1" x14ac:dyDescent="0.25">
      <c r="B31" s="29" t="s">
        <v>50</v>
      </c>
      <c r="C31" s="30">
        <f>IF(C16&lt;U22,0,IF((C16-U22)*0.25&lt;(C16*T22),(C16-U22)*0.25,C16*T22))</f>
        <v>66533.957999999999</v>
      </c>
      <c r="D31" s="41"/>
      <c r="Q31" s="47"/>
      <c r="S31" s="36"/>
      <c r="T31" s="37" t="s">
        <v>2</v>
      </c>
      <c r="U31" s="72" t="s">
        <v>6</v>
      </c>
      <c r="V31" s="9"/>
    </row>
    <row r="32" spans="2:22" ht="16.5" customHeight="1" x14ac:dyDescent="0.25">
      <c r="D32" s="45"/>
      <c r="Q32" s="47"/>
      <c r="S32" s="73" t="s">
        <v>18</v>
      </c>
      <c r="T32" s="91">
        <v>0.51519999999999999</v>
      </c>
      <c r="U32" s="79">
        <v>1</v>
      </c>
      <c r="V32" s="9"/>
    </row>
    <row r="33" spans="2:22" ht="16.5" thickBot="1" x14ac:dyDescent="0.3">
      <c r="B33" s="101" t="s">
        <v>51</v>
      </c>
      <c r="C33" s="102">
        <f>C21+C29+C31+IF(C10&lt;=U26,C10*(1+T25),(U26*(1+T25)+(C10-U26)*(1+T26)))-C10</f>
        <v>377512.60000000009</v>
      </c>
      <c r="D33" s="46"/>
      <c r="Q33" s="47"/>
      <c r="V33" s="9"/>
    </row>
    <row r="34" spans="2:22" ht="15.75" thickTop="1" x14ac:dyDescent="0.25">
      <c r="D34" s="45"/>
      <c r="Q34" s="47"/>
      <c r="T34" s="9"/>
      <c r="U34" s="9"/>
      <c r="V34" s="9"/>
    </row>
    <row r="35" spans="2:22" ht="12.75" customHeight="1" x14ac:dyDescent="0.25">
      <c r="D35" s="46"/>
      <c r="Q35" s="47"/>
    </row>
    <row r="36" spans="2:22" ht="17.25" customHeight="1" thickBot="1" x14ac:dyDescent="0.35">
      <c r="B36" s="31" t="s">
        <v>59</v>
      </c>
      <c r="C36" s="32"/>
      <c r="D36" s="45"/>
      <c r="Q36" s="47"/>
    </row>
    <row r="37" spans="2:22" x14ac:dyDescent="0.25">
      <c r="D37" s="41"/>
      <c r="Q37" s="47"/>
    </row>
    <row r="38" spans="2:22" ht="16.5" thickBot="1" x14ac:dyDescent="0.3">
      <c r="B38" s="95" t="s">
        <v>55</v>
      </c>
      <c r="C38" s="96">
        <f>C11*T32</f>
        <v>17742.157753599971</v>
      </c>
      <c r="D38" s="44"/>
      <c r="Q38" s="47"/>
    </row>
    <row r="39" spans="2:22" ht="15.75" thickTop="1" x14ac:dyDescent="0.25">
      <c r="D39" s="42"/>
      <c r="Q39" s="47"/>
    </row>
    <row r="40" spans="2:22" x14ac:dyDescent="0.25">
      <c r="B40" s="3"/>
      <c r="D40" s="42"/>
      <c r="Q40" s="47"/>
    </row>
    <row r="41" spans="2:22" ht="19.5" thickBot="1" x14ac:dyDescent="0.35">
      <c r="B41" s="31" t="s">
        <v>60</v>
      </c>
      <c r="C41" s="33"/>
      <c r="D41" s="41"/>
      <c r="Q41" s="47"/>
    </row>
    <row r="42" spans="2:22" x14ac:dyDescent="0.25">
      <c r="C42" s="2"/>
      <c r="D42" s="41"/>
      <c r="Q42" s="47"/>
    </row>
    <row r="43" spans="2:22" ht="16.5" thickBot="1" x14ac:dyDescent="0.3">
      <c r="B43" s="34" t="s">
        <v>61</v>
      </c>
      <c r="C43" s="35">
        <f>C33+C38</f>
        <v>395254.75775360008</v>
      </c>
      <c r="D43" s="41"/>
      <c r="Q43" s="47"/>
    </row>
    <row r="44" spans="2:22" ht="15.75" thickTop="1" x14ac:dyDescent="0.25">
      <c r="D44" s="41"/>
      <c r="Q44" s="47"/>
    </row>
    <row r="45" spans="2:22" x14ac:dyDescent="0.25">
      <c r="D45" s="42"/>
      <c r="Q45" s="47"/>
    </row>
  </sheetData>
  <sheetProtection algorithmName="SHA-512" hashValue="WWGG/A16JNjmtFHDeu1Kk4C9HqGK0zceuUOW6qX6BF7h72Sj+hNmA5JQ+wyslzEv51uXRxpwlYGsGW5+KGG4Yw==" saltValue="Wb7NEZUx0YnI3ILKd3EaZg==" spinCount="100000" sheet="1" objects="1" scenarios="1" selectLockedCells="1"/>
  <phoneticPr fontId="3" type="noConversion"/>
  <pageMargins left="0.7" right="0.7" top="0.75" bottom="0.75" header="0.3" footer="0.3"/>
  <pageSetup orientation="portrait" r:id="rId1"/>
  <ignoredErrors>
    <ignoredError sqref="H7:H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699B-DDDD-47E7-A668-B5739E08034D}">
  <dimension ref="B2:H16"/>
  <sheetViews>
    <sheetView showGridLines="0" workbookViewId="0">
      <selection activeCell="A5" sqref="A5"/>
    </sheetView>
  </sheetViews>
  <sheetFormatPr baseColWidth="10" defaultRowHeight="15" x14ac:dyDescent="0.25"/>
  <cols>
    <col min="6" max="7" width="13.28515625" customWidth="1"/>
    <col min="8" max="8" width="70.7109375" bestFit="1" customWidth="1"/>
  </cols>
  <sheetData>
    <row r="2" spans="2:8" ht="21" x14ac:dyDescent="0.35">
      <c r="B2" s="68" t="s">
        <v>56</v>
      </c>
    </row>
    <row r="3" spans="2:8" ht="21" x14ac:dyDescent="0.35">
      <c r="B3" s="68"/>
    </row>
    <row r="5" spans="2:8" ht="15.75" x14ac:dyDescent="0.25">
      <c r="B5" s="106" t="s">
        <v>26</v>
      </c>
      <c r="C5" s="106"/>
      <c r="D5" s="104" t="s">
        <v>0</v>
      </c>
      <c r="E5" s="105"/>
      <c r="F5" s="107" t="s">
        <v>31</v>
      </c>
      <c r="G5" s="108"/>
      <c r="H5" s="21"/>
    </row>
    <row r="6" spans="2:8" x14ac:dyDescent="0.25">
      <c r="B6" s="17" t="s">
        <v>28</v>
      </c>
      <c r="C6" s="17" t="s">
        <v>29</v>
      </c>
      <c r="D6" s="18" t="s">
        <v>28</v>
      </c>
      <c r="E6" s="19" t="s">
        <v>29</v>
      </c>
      <c r="F6" s="14" t="s">
        <v>28</v>
      </c>
      <c r="G6" s="14" t="s">
        <v>29</v>
      </c>
      <c r="H6" s="22" t="s">
        <v>30</v>
      </c>
    </row>
    <row r="7" spans="2:8" x14ac:dyDescent="0.25">
      <c r="B7" s="1">
        <v>1</v>
      </c>
      <c r="C7" s="2">
        <v>79470.62</v>
      </c>
      <c r="D7" s="12">
        <v>1</v>
      </c>
      <c r="E7" s="13">
        <v>69650</v>
      </c>
      <c r="F7" s="15">
        <v>0.1236</v>
      </c>
      <c r="G7" s="15">
        <v>0.1236</v>
      </c>
      <c r="H7" s="21" t="s">
        <v>15</v>
      </c>
    </row>
    <row r="8" spans="2:8" x14ac:dyDescent="0.25">
      <c r="B8" s="2">
        <v>79472</v>
      </c>
      <c r="C8" s="2">
        <v>168183</v>
      </c>
      <c r="D8" s="20">
        <v>69651</v>
      </c>
      <c r="E8" s="13">
        <v>147400</v>
      </c>
      <c r="F8" s="15">
        <v>0.1236</v>
      </c>
      <c r="G8" s="15">
        <v>0.1928</v>
      </c>
      <c r="H8" s="21" t="s">
        <v>32</v>
      </c>
    </row>
    <row r="9" spans="2:8" x14ac:dyDescent="0.25">
      <c r="B9" s="2">
        <v>168184</v>
      </c>
      <c r="C9" s="2">
        <v>226317</v>
      </c>
      <c r="D9" s="20">
        <v>147401</v>
      </c>
      <c r="E9" s="13">
        <v>198350</v>
      </c>
      <c r="F9" s="15">
        <v>0.1928</v>
      </c>
      <c r="G9" s="15">
        <v>0.21959999999999999</v>
      </c>
      <c r="H9" s="21" t="s">
        <v>33</v>
      </c>
    </row>
    <row r="10" spans="2:8" x14ac:dyDescent="0.25">
      <c r="B10" s="2">
        <v>226318</v>
      </c>
      <c r="C10" s="2">
        <v>259088</v>
      </c>
      <c r="D10" s="20">
        <v>198351</v>
      </c>
      <c r="E10" s="13">
        <v>227070</v>
      </c>
      <c r="F10" s="15">
        <v>0.31180000000000002</v>
      </c>
      <c r="G10" s="15">
        <v>0.31180000000000002</v>
      </c>
      <c r="H10" s="21" t="s">
        <v>34</v>
      </c>
    </row>
    <row r="11" spans="2:8" x14ac:dyDescent="0.25">
      <c r="B11" s="2">
        <v>259089</v>
      </c>
      <c r="C11" s="2">
        <v>318510</v>
      </c>
      <c r="D11" s="20">
        <v>227071</v>
      </c>
      <c r="E11" s="13">
        <v>279150</v>
      </c>
      <c r="F11" s="15">
        <v>0.31180000000000002</v>
      </c>
      <c r="G11" s="15">
        <v>0.36899999999999999</v>
      </c>
      <c r="H11" s="21" t="s">
        <v>34</v>
      </c>
    </row>
    <row r="12" spans="2:8" x14ac:dyDescent="0.25">
      <c r="B12" s="2">
        <v>318511</v>
      </c>
      <c r="C12" s="2">
        <v>733606</v>
      </c>
      <c r="D12" s="20">
        <v>279151</v>
      </c>
      <c r="E12" s="13">
        <v>642950</v>
      </c>
      <c r="F12" s="15">
        <v>0.42070000000000002</v>
      </c>
      <c r="G12" s="15">
        <v>0.42070000000000002</v>
      </c>
      <c r="H12" s="21" t="s">
        <v>35</v>
      </c>
    </row>
    <row r="13" spans="2:8" x14ac:dyDescent="0.25">
      <c r="B13" s="2">
        <v>733607</v>
      </c>
      <c r="C13" s="2">
        <v>855750</v>
      </c>
      <c r="D13" s="20">
        <v>642951</v>
      </c>
      <c r="E13" s="13">
        <v>750000</v>
      </c>
      <c r="F13" s="15">
        <v>0.50390000000000001</v>
      </c>
      <c r="G13" s="15">
        <v>0.50390000000000001</v>
      </c>
      <c r="H13" s="21" t="s">
        <v>36</v>
      </c>
    </row>
    <row r="14" spans="2:8" x14ac:dyDescent="0.25">
      <c r="B14" s="2">
        <v>855751</v>
      </c>
      <c r="C14" s="2">
        <v>1066319</v>
      </c>
      <c r="D14" s="20">
        <v>751000</v>
      </c>
      <c r="E14" s="13">
        <v>926800</v>
      </c>
      <c r="F14" s="15">
        <v>0.52480000000000004</v>
      </c>
      <c r="G14" s="15">
        <v>0.52480000000000004</v>
      </c>
      <c r="H14" s="21" t="s">
        <v>37</v>
      </c>
    </row>
    <row r="15" spans="2:8" x14ac:dyDescent="0.25">
      <c r="B15" s="2">
        <v>1066320</v>
      </c>
      <c r="C15" s="2">
        <v>1749000</v>
      </c>
      <c r="D15" s="20">
        <v>926801</v>
      </c>
      <c r="E15" s="13">
        <v>1500000</v>
      </c>
      <c r="F15" s="15">
        <v>0.55000000000000004</v>
      </c>
      <c r="G15" s="15">
        <v>0.55000000000000004</v>
      </c>
      <c r="H15" s="21" t="s">
        <v>38</v>
      </c>
    </row>
    <row r="16" spans="2:8" x14ac:dyDescent="0.25">
      <c r="B16" s="2">
        <v>1749001</v>
      </c>
      <c r="C16" s="2"/>
      <c r="D16" s="20">
        <v>1500001</v>
      </c>
      <c r="E16" s="13"/>
      <c r="F16" s="15">
        <v>0.55840000000000001</v>
      </c>
      <c r="G16" s="15">
        <v>0.55840000000000001</v>
      </c>
      <c r="H16" s="21" t="s">
        <v>39</v>
      </c>
    </row>
  </sheetData>
  <mergeCells count="3">
    <mergeCell ref="D5:E5"/>
    <mergeCell ref="B5:C5"/>
    <mergeCell ref="F5:G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333C-FB76-41DF-9990-5F15975685F2}">
  <dimension ref="B3:E24"/>
  <sheetViews>
    <sheetView showGridLines="0" zoomScaleNormal="100" workbookViewId="0">
      <selection activeCell="G2" sqref="G2"/>
    </sheetView>
  </sheetViews>
  <sheetFormatPr baseColWidth="10" defaultRowHeight="15" x14ac:dyDescent="0.25"/>
  <cols>
    <col min="2" max="5" width="14.28515625" style="1" customWidth="1"/>
  </cols>
  <sheetData>
    <row r="3" spans="2:5" ht="45" x14ac:dyDescent="0.25">
      <c r="B3" s="24" t="s">
        <v>0</v>
      </c>
      <c r="C3" s="24" t="s">
        <v>27</v>
      </c>
      <c r="D3" s="24" t="s">
        <v>31</v>
      </c>
      <c r="E3" s="24" t="s">
        <v>40</v>
      </c>
    </row>
    <row r="4" spans="2:5" x14ac:dyDescent="0.25">
      <c r="B4" s="2">
        <v>1</v>
      </c>
      <c r="C4" s="2">
        <f>B4*(1+Lønnsinntekt!$T$25)</f>
        <v>1.141</v>
      </c>
      <c r="D4" s="15">
        <v>0.1236</v>
      </c>
      <c r="E4" s="15">
        <v>0.51519999999999999</v>
      </c>
    </row>
    <row r="5" spans="2:5" x14ac:dyDescent="0.25">
      <c r="B5" s="25">
        <v>69650</v>
      </c>
      <c r="C5" s="25">
        <f>B5*(1+Lønnsinntekt!$T$25)</f>
        <v>79470.649999999994</v>
      </c>
      <c r="D5" s="26">
        <v>0.1236</v>
      </c>
      <c r="E5" s="26">
        <v>0.51519999999999999</v>
      </c>
    </row>
    <row r="6" spans="2:5" x14ac:dyDescent="0.25">
      <c r="B6" s="25">
        <v>69651</v>
      </c>
      <c r="C6" s="25">
        <f>B6*(1+Lønnsinntekt!$T$25)</f>
        <v>79471.790999999997</v>
      </c>
      <c r="D6" s="26">
        <v>0.1236</v>
      </c>
      <c r="E6" s="26">
        <v>0.51519999999999999</v>
      </c>
    </row>
    <row r="7" spans="2:5" x14ac:dyDescent="0.25">
      <c r="B7" s="2">
        <v>147400</v>
      </c>
      <c r="C7" s="2">
        <f>B7*(1+Lønnsinntekt!$T$25)</f>
        <v>168183.4</v>
      </c>
      <c r="D7" s="15">
        <v>0.19289999999999999</v>
      </c>
      <c r="E7" s="15">
        <v>0.51519999999999999</v>
      </c>
    </row>
    <row r="8" spans="2:5" x14ac:dyDescent="0.25">
      <c r="B8" s="2">
        <v>147401</v>
      </c>
      <c r="C8" s="2">
        <f>B8*(1+Lønnsinntekt!$T$25)</f>
        <v>168184.541</v>
      </c>
      <c r="D8" s="15">
        <v>0.19289999999999999</v>
      </c>
      <c r="E8" s="15">
        <v>0.51519999999999999</v>
      </c>
    </row>
    <row r="9" spans="2:5" x14ac:dyDescent="0.25">
      <c r="B9" s="25">
        <v>198350</v>
      </c>
      <c r="C9" s="25">
        <f>B9*(1+Lønnsinntekt!$T$25)</f>
        <v>226317.35</v>
      </c>
      <c r="D9" s="26">
        <v>0.21909999999999999</v>
      </c>
      <c r="E9" s="26">
        <v>0.51519999999999999</v>
      </c>
    </row>
    <row r="10" spans="2:5" x14ac:dyDescent="0.25">
      <c r="B10" s="25">
        <v>198351</v>
      </c>
      <c r="C10" s="25">
        <f>B10*(1+Lønnsinntekt!$T$25)</f>
        <v>226318.49100000001</v>
      </c>
      <c r="D10" s="26">
        <v>0.31180000000000002</v>
      </c>
      <c r="E10" s="26">
        <v>0.51519999999999999</v>
      </c>
    </row>
    <row r="11" spans="2:5" x14ac:dyDescent="0.25">
      <c r="B11" s="2">
        <v>227070</v>
      </c>
      <c r="C11" s="2">
        <f>B11*(1+Lønnsinntekt!$T$25)</f>
        <v>259086.87</v>
      </c>
      <c r="D11" s="15">
        <v>0.31180000000000002</v>
      </c>
      <c r="E11" s="15">
        <v>0.51519999999999999</v>
      </c>
    </row>
    <row r="12" spans="2:5" x14ac:dyDescent="0.25">
      <c r="B12" s="2">
        <v>227071</v>
      </c>
      <c r="C12" s="2">
        <f>B12*(1+Lønnsinntekt!$T$25)</f>
        <v>259088.011</v>
      </c>
      <c r="D12" s="15">
        <v>0.31180000000000002</v>
      </c>
      <c r="E12" s="15">
        <v>0.51519999999999999</v>
      </c>
    </row>
    <row r="13" spans="2:5" x14ac:dyDescent="0.25">
      <c r="B13" s="25">
        <v>279150</v>
      </c>
      <c r="C13" s="25">
        <f>B13*(1+Lønnsinntekt!$T$25)</f>
        <v>318510.15000000002</v>
      </c>
      <c r="D13" s="26">
        <v>0.36899999999999999</v>
      </c>
      <c r="E13" s="26">
        <v>0.51519999999999999</v>
      </c>
    </row>
    <row r="14" spans="2:5" x14ac:dyDescent="0.25">
      <c r="B14" s="25">
        <v>279151</v>
      </c>
      <c r="C14" s="25">
        <f>B14*(1+Lønnsinntekt!$T$25)</f>
        <v>318511.29100000003</v>
      </c>
      <c r="D14" s="26">
        <v>0.42070000000000002</v>
      </c>
      <c r="E14" s="26">
        <v>0.51519999999999999</v>
      </c>
    </row>
    <row r="15" spans="2:5" x14ac:dyDescent="0.25">
      <c r="B15" s="2">
        <v>642950</v>
      </c>
      <c r="C15" s="2">
        <f>B15*(1+Lønnsinntekt!$T$25)</f>
        <v>733605.95</v>
      </c>
      <c r="D15" s="15">
        <v>0.42070000000000002</v>
      </c>
      <c r="E15" s="15">
        <v>0.51519999999999999</v>
      </c>
    </row>
    <row r="16" spans="2:5" x14ac:dyDescent="0.25">
      <c r="B16" s="2">
        <v>642951</v>
      </c>
      <c r="C16" s="2">
        <f>B16*(1+Lønnsinntekt!$T$25)</f>
        <v>733607.09100000001</v>
      </c>
      <c r="D16" s="15">
        <v>0.50390000000000001</v>
      </c>
      <c r="E16" s="15">
        <v>0.51519999999999999</v>
      </c>
    </row>
    <row r="17" spans="2:5" x14ac:dyDescent="0.25">
      <c r="B17" s="25">
        <v>750000</v>
      </c>
      <c r="C17" s="25">
        <f>Lønnsinntekt!$U$26*(1+Lønnsinntekt!$T$25)+(B17-Lønnsinntekt!$U$26)*(1+Lønnsinntekt!$T$26)</f>
        <v>855750</v>
      </c>
      <c r="D17" s="26">
        <v>0.50390000000000001</v>
      </c>
      <c r="E17" s="26">
        <v>0.51519999999999999</v>
      </c>
    </row>
    <row r="18" spans="2:5" x14ac:dyDescent="0.25">
      <c r="B18" s="25">
        <v>750001</v>
      </c>
      <c r="C18" s="25">
        <f>Lønnsinntekt!$U$26*(1+Lønnsinntekt!$T$25)+(B18-Lønnsinntekt!$U$26)*(1+Lønnsinntekt!$T$26)</f>
        <v>855751.19099999999</v>
      </c>
      <c r="D18" s="26">
        <v>0.52479999999999993</v>
      </c>
      <c r="E18" s="26">
        <v>0.51519999999999999</v>
      </c>
    </row>
    <row r="19" spans="2:5" x14ac:dyDescent="0.25">
      <c r="B19" s="2">
        <v>926800</v>
      </c>
      <c r="C19" s="2">
        <f>Lønnsinntekt!$U$26*(1+Lønnsinntekt!$T$25)+(B19-Lønnsinntekt!$U$26)*(1+Lønnsinntekt!$T$26)</f>
        <v>1066318.8</v>
      </c>
      <c r="D19" s="15">
        <v>0.52479999999999993</v>
      </c>
      <c r="E19" s="15">
        <v>0.51519999999999999</v>
      </c>
    </row>
    <row r="20" spans="2:5" x14ac:dyDescent="0.25">
      <c r="B20" s="2">
        <v>926801</v>
      </c>
      <c r="C20" s="2">
        <f>Lønnsinntekt!$U$26*(1+Lønnsinntekt!$T$25)+(B20-Lønnsinntekt!$U$26)*(1+Lønnsinntekt!$T$26)</f>
        <v>1066319.9909999999</v>
      </c>
      <c r="D20" s="15">
        <v>0.55000000000000004</v>
      </c>
      <c r="E20" s="15">
        <v>0.51519999999999999</v>
      </c>
    </row>
    <row r="21" spans="2:5" x14ac:dyDescent="0.25">
      <c r="B21" s="25">
        <v>1500000</v>
      </c>
      <c r="C21" s="25">
        <f>Lønnsinntekt!$U$26*(1+Lønnsinntekt!$T$25)+(B21-Lønnsinntekt!$U$26)*(1+Lønnsinntekt!$T$26)</f>
        <v>1749000</v>
      </c>
      <c r="D21" s="26">
        <v>0.55000000000000004</v>
      </c>
      <c r="E21" s="26">
        <v>0.51519999999999999</v>
      </c>
    </row>
    <row r="22" spans="2:5" x14ac:dyDescent="0.25">
      <c r="B22" s="25">
        <v>1500001</v>
      </c>
      <c r="C22" s="25">
        <f>Lønnsinntekt!$U$26*(1+Lønnsinntekt!$T$25)+(B22-Lønnsinntekt!$U$26)*(1+Lønnsinntekt!$T$26)</f>
        <v>1749001.1910000001</v>
      </c>
      <c r="D22" s="26">
        <v>0.55840000000000001</v>
      </c>
      <c r="E22" s="26">
        <v>0.51519999999999999</v>
      </c>
    </row>
    <row r="23" spans="2:5" x14ac:dyDescent="0.25">
      <c r="B23" s="2">
        <v>1680000</v>
      </c>
      <c r="C23" s="2">
        <f>Lønnsinntekt!$U$26*(1+Lønnsinntekt!$T$25)+(B23-Lønnsinntekt!$U$26)*(1+Lønnsinntekt!$T$26)</f>
        <v>1963380</v>
      </c>
      <c r="D23" s="15">
        <v>0.55840000000000001</v>
      </c>
      <c r="E23" s="15">
        <v>0.51519999999999999</v>
      </c>
    </row>
    <row r="24" spans="2:5" x14ac:dyDescent="0.25">
      <c r="B24" s="2">
        <v>1680001</v>
      </c>
      <c r="D24" s="15">
        <v>0.55840000000000001</v>
      </c>
      <c r="E24" s="15">
        <v>0.51519999999999999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FC88-C42E-436E-B0D6-8D4E1900FA52}">
  <dimension ref="A2:M25"/>
  <sheetViews>
    <sheetView showGridLines="0" workbookViewId="0">
      <selection activeCell="G30" sqref="G30"/>
    </sheetView>
  </sheetViews>
  <sheetFormatPr baseColWidth="10" defaultRowHeight="15" x14ac:dyDescent="0.25"/>
  <cols>
    <col min="2" max="2" width="12.5703125" bestFit="1" customWidth="1"/>
    <col min="9" max="9" width="20" customWidth="1"/>
    <col min="10" max="11" width="11.42578125" style="1"/>
  </cols>
  <sheetData>
    <row r="2" spans="1:13" x14ac:dyDescent="0.25">
      <c r="A2" s="1" t="s">
        <v>21</v>
      </c>
      <c r="B2" t="s">
        <v>22</v>
      </c>
      <c r="C2" t="s">
        <v>24</v>
      </c>
      <c r="D2" t="s">
        <v>23</v>
      </c>
      <c r="J2" s="2"/>
    </row>
    <row r="3" spans="1:13" x14ac:dyDescent="0.25">
      <c r="A3" s="2">
        <v>0</v>
      </c>
    </row>
    <row r="4" spans="1:13" x14ac:dyDescent="0.25">
      <c r="A4" s="2">
        <v>50000</v>
      </c>
      <c r="B4" s="2">
        <f>A4*(1+Lønnsinntekt!$T$25)</f>
        <v>57050</v>
      </c>
      <c r="C4" s="2">
        <v>7050</v>
      </c>
      <c r="D4" s="2"/>
    </row>
    <row r="5" spans="1:13" x14ac:dyDescent="0.25">
      <c r="A5" s="2">
        <v>100000</v>
      </c>
      <c r="B5" s="2">
        <f>A5*(1+Lønnsinntekt!$T$25)</f>
        <v>114100</v>
      </c>
      <c r="C5" s="2">
        <v>21688</v>
      </c>
      <c r="D5" s="2"/>
    </row>
    <row r="6" spans="1:13" x14ac:dyDescent="0.25">
      <c r="A6" s="2">
        <v>150000</v>
      </c>
      <c r="B6" s="2">
        <f>A6*(1+Lønnsinntekt!$T$25)</f>
        <v>171150</v>
      </c>
      <c r="C6" s="2">
        <v>33308</v>
      </c>
      <c r="D6" s="2"/>
    </row>
    <row r="7" spans="1:13" x14ac:dyDescent="0.25">
      <c r="A7" s="2">
        <v>200000</v>
      </c>
      <c r="B7" s="2">
        <f>A7*(1+Lønnsinntekt!$T$25)</f>
        <v>228200</v>
      </c>
      <c r="C7" s="2">
        <v>50276</v>
      </c>
      <c r="D7" s="2"/>
    </row>
    <row r="8" spans="1:13" x14ac:dyDescent="0.25">
      <c r="A8" s="2">
        <v>250000</v>
      </c>
      <c r="B8" s="2">
        <f>A8*(1+Lønnsinntekt!$T$25)</f>
        <v>285250</v>
      </c>
      <c r="C8" s="2">
        <v>70387</v>
      </c>
      <c r="D8" s="2"/>
    </row>
    <row r="9" spans="1:13" x14ac:dyDescent="0.25">
      <c r="A9" s="2">
        <v>300000</v>
      </c>
      <c r="B9" s="2">
        <f>A9*(1+Lønnsinntekt!$T$25)</f>
        <v>342300</v>
      </c>
      <c r="C9" s="2">
        <v>93717</v>
      </c>
      <c r="D9" s="2"/>
      <c r="I9" s="2"/>
      <c r="J9" s="2"/>
      <c r="M9" s="6"/>
    </row>
    <row r="10" spans="1:13" x14ac:dyDescent="0.25">
      <c r="A10" s="2">
        <v>350000</v>
      </c>
      <c r="B10" s="2">
        <f>A10*(1+Lønnsinntekt!$T$25)</f>
        <v>399350</v>
      </c>
      <c r="C10" s="2">
        <v>117717</v>
      </c>
      <c r="D10" s="2"/>
      <c r="I10" s="2"/>
      <c r="J10" s="2"/>
      <c r="K10" s="2"/>
      <c r="L10" s="6"/>
      <c r="M10" s="6"/>
    </row>
    <row r="11" spans="1:13" x14ac:dyDescent="0.25">
      <c r="A11" s="2">
        <v>400000</v>
      </c>
      <c r="B11" s="2">
        <f>A11*(1+Lønnsinntekt!$T$25)</f>
        <v>456400</v>
      </c>
      <c r="C11" s="2">
        <v>141717</v>
      </c>
      <c r="D11" s="2"/>
      <c r="I11" s="2"/>
      <c r="J11" s="2"/>
      <c r="K11" s="2"/>
      <c r="L11" s="6"/>
      <c r="M11" s="6"/>
    </row>
    <row r="12" spans="1:13" x14ac:dyDescent="0.25">
      <c r="A12" s="2">
        <v>450000</v>
      </c>
      <c r="B12" s="2">
        <f>A12*(1+Lønnsinntekt!$T$25)</f>
        <v>513450</v>
      </c>
      <c r="C12" s="2">
        <v>165717</v>
      </c>
      <c r="D12" s="2"/>
      <c r="I12" s="2"/>
      <c r="J12" s="2"/>
      <c r="K12" s="2"/>
      <c r="L12" s="6"/>
      <c r="M12" s="6"/>
    </row>
    <row r="13" spans="1:13" x14ac:dyDescent="0.25">
      <c r="A13" s="2">
        <v>500000</v>
      </c>
      <c r="B13" s="2">
        <f>A13*(1+Lønnsinntekt!$T$25)</f>
        <v>570500</v>
      </c>
      <c r="C13" s="2">
        <v>189717</v>
      </c>
      <c r="D13" s="2"/>
      <c r="I13" s="2"/>
      <c r="J13" s="2"/>
      <c r="K13" s="2"/>
      <c r="L13" s="6"/>
      <c r="M13" s="6"/>
    </row>
    <row r="14" spans="1:13" x14ac:dyDescent="0.25">
      <c r="A14" s="2">
        <v>550000</v>
      </c>
      <c r="B14" s="2">
        <f>A14*(1+Lønnsinntekt!$T$25)</f>
        <v>627550</v>
      </c>
      <c r="C14" s="2">
        <v>213696</v>
      </c>
      <c r="D14" s="2"/>
      <c r="I14" s="2"/>
      <c r="J14" s="2"/>
      <c r="K14" s="2"/>
      <c r="L14" s="6"/>
      <c r="M14" s="6"/>
    </row>
    <row r="15" spans="1:13" x14ac:dyDescent="0.25">
      <c r="A15" s="2">
        <v>600000</v>
      </c>
      <c r="B15" s="2">
        <f>A15*(1+Lønnsinntekt!$T$25)</f>
        <v>684600</v>
      </c>
      <c r="C15" s="2">
        <v>237717</v>
      </c>
      <c r="D15" s="2"/>
      <c r="I15" s="2"/>
      <c r="J15" s="2"/>
      <c r="K15" s="2"/>
      <c r="L15" s="6"/>
      <c r="M15" s="6"/>
    </row>
    <row r="16" spans="1:13" x14ac:dyDescent="0.25">
      <c r="A16" s="2">
        <v>650000</v>
      </c>
      <c r="B16" s="2">
        <f>A16*(1+Lønnsinntekt!$T$25)</f>
        <v>741650</v>
      </c>
      <c r="C16" s="2">
        <v>262386</v>
      </c>
      <c r="D16" s="2"/>
      <c r="I16" s="2"/>
      <c r="J16" s="2"/>
      <c r="K16" s="2"/>
      <c r="L16" s="6"/>
      <c r="M16" s="6"/>
    </row>
    <row r="17" spans="1:13" x14ac:dyDescent="0.25">
      <c r="A17" s="2">
        <v>700000</v>
      </c>
      <c r="B17" s="2">
        <f>A17*(1+Lønnsinntekt!$T$25)</f>
        <v>798700</v>
      </c>
      <c r="C17" s="2">
        <v>291136</v>
      </c>
      <c r="D17" s="2"/>
      <c r="I17" s="2"/>
      <c r="J17" s="2"/>
      <c r="K17" s="2"/>
      <c r="L17" s="6"/>
      <c r="M17" s="6"/>
    </row>
    <row r="18" spans="1:13" x14ac:dyDescent="0.25">
      <c r="A18" s="2">
        <v>750000</v>
      </c>
      <c r="B18" s="2">
        <f>A18*(1+Lønnsinntekt!$T$25)</f>
        <v>855750</v>
      </c>
      <c r="C18" s="2">
        <v>319886</v>
      </c>
      <c r="D18" s="2">
        <v>319866</v>
      </c>
      <c r="I18" s="2"/>
      <c r="J18" s="2"/>
      <c r="K18" s="2"/>
      <c r="L18" s="6"/>
      <c r="M18" s="6"/>
    </row>
    <row r="19" spans="1:13" x14ac:dyDescent="0.25">
      <c r="A19" s="2">
        <v>800000</v>
      </c>
      <c r="B19" s="2">
        <f>$B$18+($A$19-A18)*(1+Lønnsinntekt!$T$26)</f>
        <v>915300</v>
      </c>
      <c r="C19" s="2">
        <v>351136</v>
      </c>
      <c r="D19" s="2">
        <v>350567</v>
      </c>
      <c r="I19" s="2"/>
      <c r="J19" s="2"/>
      <c r="K19" s="2"/>
      <c r="L19" s="6"/>
      <c r="M19" s="6"/>
    </row>
    <row r="20" spans="1:13" x14ac:dyDescent="0.25">
      <c r="A20" s="2">
        <v>850000</v>
      </c>
      <c r="B20" s="2">
        <f>B18+(A20-$A$18)*(1+Lønnsinntekt!$T$26)</f>
        <v>974850</v>
      </c>
      <c r="C20" s="2">
        <v>382386</v>
      </c>
      <c r="D20" s="2">
        <v>381247</v>
      </c>
      <c r="I20" s="2"/>
      <c r="J20" s="2"/>
      <c r="K20" s="2"/>
      <c r="L20" s="6"/>
      <c r="M20" s="6"/>
    </row>
    <row r="21" spans="1:13" x14ac:dyDescent="0.25">
      <c r="A21" s="2">
        <v>900000</v>
      </c>
      <c r="B21" s="2">
        <f>B18+(A21-$A$18)*(1+Lønnsinntekt!$T$26)</f>
        <v>1034400</v>
      </c>
      <c r="C21" s="2">
        <v>413636</v>
      </c>
      <c r="D21" s="2">
        <v>411927</v>
      </c>
      <c r="I21" s="2"/>
      <c r="J21" s="2"/>
      <c r="K21" s="2"/>
      <c r="L21" s="6"/>
      <c r="M21" s="6"/>
    </row>
    <row r="22" spans="1:13" x14ac:dyDescent="0.25">
      <c r="A22" s="2">
        <v>950000</v>
      </c>
      <c r="B22" s="2">
        <f>B18+(A22-$A$18)*(1+Lønnsinntekt!$T$26)</f>
        <v>1093950</v>
      </c>
      <c r="C22" s="2">
        <v>445582</v>
      </c>
      <c r="D22" s="2">
        <v>442607</v>
      </c>
      <c r="I22" s="2"/>
      <c r="J22" s="2"/>
      <c r="K22" s="2"/>
      <c r="L22" s="6"/>
      <c r="M22" s="6"/>
    </row>
    <row r="23" spans="1:13" x14ac:dyDescent="0.25">
      <c r="A23" s="2">
        <v>1000000</v>
      </c>
      <c r="B23" s="2">
        <f>B18+(A23-$A$18)*(1+Lønnsinntekt!$T$26)</f>
        <v>1153500</v>
      </c>
      <c r="C23" s="2">
        <v>478332</v>
      </c>
      <c r="D23" s="2">
        <v>473287</v>
      </c>
      <c r="I23" s="2"/>
      <c r="J23" s="2"/>
      <c r="K23" s="2"/>
      <c r="L23" s="6"/>
      <c r="M23" s="6"/>
    </row>
    <row r="24" spans="1:13" x14ac:dyDescent="0.25">
      <c r="A24" s="2">
        <v>2000000</v>
      </c>
      <c r="B24" s="2">
        <f>B18+(A24-$A$18)*(1+Lønnsinntekt!$T$26)</f>
        <v>2344500</v>
      </c>
      <c r="C24" s="2">
        <v>1138332</v>
      </c>
      <c r="D24" s="2">
        <v>1086890</v>
      </c>
      <c r="I24" s="2"/>
      <c r="J24" s="2"/>
      <c r="K24" s="2"/>
      <c r="L24" s="6"/>
      <c r="M24" s="6"/>
    </row>
    <row r="25" spans="1:13" x14ac:dyDescent="0.25">
      <c r="A25" s="2">
        <v>5000000</v>
      </c>
      <c r="B25" s="2">
        <f>B18+(A25-$A$18)*(1+Lønnsinntekt!$T$26)</f>
        <v>5917500</v>
      </c>
      <c r="C25" s="2">
        <v>3133332</v>
      </c>
      <c r="D25" s="2">
        <v>2927700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88034474CF5E4885265FCF1270F314" ma:contentTypeVersion="17" ma:contentTypeDescription="Opprett et nytt dokument." ma:contentTypeScope="" ma:versionID="8e737ebbdff6b1bdb4756059a09ee2ce">
  <xsd:schema xmlns:xsd="http://www.w3.org/2001/XMLSchema" xmlns:xs="http://www.w3.org/2001/XMLSchema" xmlns:p="http://schemas.microsoft.com/office/2006/metadata/properties" xmlns:ns2="5042e93d-9b3e-4009-93bb-a04d34aab9a1" xmlns:ns3="e3f87b39-762e-410c-989d-a6e4082a9a1c" targetNamespace="http://schemas.microsoft.com/office/2006/metadata/properties" ma:root="true" ma:fieldsID="be984f1adbb6554294557798c902184a" ns2:_="" ns3:_="">
    <xsd:import namespace="5042e93d-9b3e-4009-93bb-a04d34aab9a1"/>
    <xsd:import namespace="e3f87b39-762e-410c-989d-a6e4082a9a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Dato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2e93d-9b3e-4009-93bb-a04d34aab9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e40dd14-be1f-46dc-8504-4150ffa0f0ab}" ma:internalName="TaxCatchAll" ma:showField="CatchAllData" ma:web="5042e93d-9b3e-4009-93bb-a04d34aab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87b39-762e-410c-989d-a6e4082a9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default="[today]" ma:format="DateTime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1d941ce4-085e-436e-8a82-4200efdfc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e3f87b39-762e-410c-989d-a6e4082a9a1c">2023-03-10T14:37:59+00:00</Dato>
    <lcf76f155ced4ddcb4097134ff3c332f xmlns="e3f87b39-762e-410c-989d-a6e4082a9a1c">
      <Terms xmlns="http://schemas.microsoft.com/office/infopath/2007/PartnerControls"/>
    </lcf76f155ced4ddcb4097134ff3c332f>
    <TaxCatchAll xmlns="5042e93d-9b3e-4009-93bb-a04d34aab9a1" xsi:nil="true"/>
  </documentManagement>
</p:properties>
</file>

<file path=customXml/itemProps1.xml><?xml version="1.0" encoding="utf-8"?>
<ds:datastoreItem xmlns:ds="http://schemas.openxmlformats.org/officeDocument/2006/customXml" ds:itemID="{CD6761DF-909F-4753-8C6F-5FC4AAD10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A3FAE-E2DD-4DAE-A076-D8A865E84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2e93d-9b3e-4009-93bb-a04d34aab9a1"/>
    <ds:schemaRef ds:uri="e3f87b39-762e-410c-989d-a6e4082a9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16ADAF-E242-4052-9B24-D9D185C1E151}">
  <ds:schemaRefs>
    <ds:schemaRef ds:uri="http://schemas.microsoft.com/office/2006/metadata/properties"/>
    <ds:schemaRef ds:uri="http://schemas.microsoft.com/office/infopath/2007/PartnerControls"/>
    <ds:schemaRef ds:uri="e3f87b39-762e-410c-989d-a6e4082a9a1c"/>
    <ds:schemaRef ds:uri="5042e93d-9b3e-4009-93bb-a04d34aab9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Lønnsinntekt</vt:lpstr>
      <vt:lpstr>Innslagspunkter</vt:lpstr>
      <vt:lpstr>Diagram marginalskatt</vt:lpstr>
      <vt:lpstr>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Austheim</dc:creator>
  <cp:lastModifiedBy>Svein Austheim</cp:lastModifiedBy>
  <dcterms:created xsi:type="dcterms:W3CDTF">2023-03-02T08:44:18Z</dcterms:created>
  <dcterms:modified xsi:type="dcterms:W3CDTF">2023-05-26T08:44:21Z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0x010100F188034474CF5E4885265FCF1270F314</vt:lpwstr>
  </property>
  <property fmtid="{D5CDD505-2E9C-101B-9397-08002B2CF9AE}" pid="3" name="MediaServiceImageTags">
    <vt:lpwstr/>
  </property>
</Properties>
</file>