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regnskapnorge.sharepoint.com/sites/Filserver/Delte dokumenter/Statistikk og analyse/Koronapandemien/Kompensasjonsordning V3/Publisert versjon/"/>
    </mc:Choice>
  </mc:AlternateContent>
  <xr:revisionPtr revIDLastSave="0" documentId="8_{2AE53F86-5931-4C84-AB80-6FB270DECBA2}" xr6:coauthVersionLast="47" xr6:coauthVersionMax="47" xr10:uidLastSave="{00000000-0000-0000-0000-000000000000}"/>
  <bookViews>
    <workbookView xWindow="44880" yWindow="-120" windowWidth="29040" windowHeight="15840" activeTab="2" xr2:uid="{DE6FD286-67C2-495E-B132-7671238EC871}"/>
  </bookViews>
  <sheets>
    <sheet name="Forklaring eierstruktur" sheetId="6" r:id="rId1"/>
    <sheet name="Eierstruktur" sheetId="4" r:id="rId2"/>
    <sheet name="Beregningsmodell" sheetId="1" r:id="rId3"/>
    <sheet name="Varespesifikasjon" sheetId="7" r:id="rId4"/>
    <sheet name="Kontrollhandlinger" sheetId="5" r:id="rId5"/>
    <sheet name="Lister" sheetId="2" state="hidden"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D28" i="1"/>
  <c r="B38" i="1"/>
  <c r="B37" i="1"/>
  <c r="B31" i="1"/>
  <c r="D34" i="1" s="1"/>
  <c r="B32" i="1"/>
  <c r="D172" i="1" l="1"/>
  <c r="B231" i="5" l="1"/>
  <c r="B232" i="5"/>
  <c r="B233" i="5"/>
  <c r="B230" i="5"/>
  <c r="C183" i="5" l="1"/>
  <c r="C184" i="5"/>
  <c r="C185" i="5"/>
  <c r="C186" i="5"/>
  <c r="C187" i="5"/>
  <c r="C188" i="5"/>
  <c r="C189" i="5"/>
  <c r="C190" i="5"/>
  <c r="C191" i="5"/>
  <c r="C192" i="5"/>
  <c r="C193" i="5"/>
  <c r="C194" i="5"/>
  <c r="C195" i="5"/>
  <c r="C196" i="5"/>
  <c r="D188" i="5"/>
  <c r="D183" i="5"/>
  <c r="D184" i="5"/>
  <c r="D185" i="5"/>
  <c r="D186" i="5"/>
  <c r="D187" i="5"/>
  <c r="D189" i="5"/>
  <c r="D190" i="5"/>
  <c r="D191" i="5"/>
  <c r="D192" i="5"/>
  <c r="D193" i="5"/>
  <c r="D194" i="5"/>
  <c r="D195" i="5"/>
  <c r="D196" i="5"/>
  <c r="B169" i="1"/>
  <c r="O20" i="4"/>
  <c r="F8" i="7"/>
  <c r="F9" i="7"/>
  <c r="F10" i="7"/>
  <c r="F11" i="7"/>
  <c r="F12" i="7"/>
  <c r="F13" i="7"/>
  <c r="F14" i="7"/>
  <c r="F15" i="7"/>
  <c r="F6" i="7"/>
  <c r="F7" i="7"/>
  <c r="B203" i="5" l="1"/>
  <c r="F165" i="1"/>
  <c r="D282" i="5"/>
  <c r="B269" i="5"/>
  <c r="D245" i="5"/>
  <c r="D244" i="5"/>
  <c r="F247" i="5" s="1"/>
  <c r="D240" i="5"/>
  <c r="D241" i="5"/>
  <c r="D239" i="5"/>
  <c r="F216" i="1"/>
  <c r="F245" i="5" l="1"/>
  <c r="F251" i="5"/>
  <c r="F260" i="5"/>
  <c r="F246" i="5"/>
  <c r="F253" i="5"/>
  <c r="F255" i="5"/>
  <c r="F248" i="5"/>
  <c r="F257" i="5"/>
  <c r="F261" i="5"/>
  <c r="D216" i="1"/>
  <c r="D283" i="5" s="1"/>
  <c r="D139" i="5"/>
  <c r="D138" i="5"/>
  <c r="D221" i="5"/>
  <c r="D220" i="5"/>
  <c r="D211" i="5"/>
  <c r="D206" i="5"/>
  <c r="D207" i="5"/>
  <c r="D208" i="5"/>
  <c r="D209" i="5"/>
  <c r="F209" i="5" s="1"/>
  <c r="D205" i="5"/>
  <c r="F205" i="5" s="1"/>
  <c r="B198" i="5"/>
  <c r="D147" i="5"/>
  <c r="D148" i="5"/>
  <c r="D149" i="5"/>
  <c r="D150" i="5"/>
  <c r="D151" i="5"/>
  <c r="D146" i="5"/>
  <c r="D142" i="5"/>
  <c r="D143" i="5"/>
  <c r="D141" i="5"/>
  <c r="D112" i="5"/>
  <c r="D113" i="5"/>
  <c r="D111" i="5"/>
  <c r="K7" i="4"/>
  <c r="J7" i="4"/>
  <c r="I7" i="4"/>
  <c r="B105" i="5"/>
  <c r="B104" i="5"/>
  <c r="D98" i="5"/>
  <c r="D96" i="5"/>
  <c r="D75" i="5"/>
  <c r="D74" i="5"/>
  <c r="D57" i="5"/>
  <c r="D56" i="5"/>
  <c r="D35" i="5"/>
  <c r="D36" i="5"/>
  <c r="D34" i="5"/>
  <c r="D25" i="5"/>
  <c r="D26" i="5"/>
  <c r="D27" i="5"/>
  <c r="D28" i="5"/>
  <c r="D24" i="5"/>
  <c r="D20" i="5"/>
  <c r="D21" i="5"/>
  <c r="D22" i="5"/>
  <c r="D19" i="5"/>
  <c r="D17" i="5"/>
  <c r="D223" i="5" l="1"/>
  <c r="F208" i="5"/>
  <c r="F215" i="5"/>
  <c r="F216" i="5"/>
  <c r="F207" i="5"/>
  <c r="F217" i="5"/>
  <c r="B221" i="5"/>
  <c r="B206" i="5"/>
  <c r="B208" i="5"/>
  <c r="B211" i="5"/>
  <c r="B220" i="5"/>
  <c r="B207" i="5"/>
  <c r="B209" i="5"/>
  <c r="N8" i="4"/>
  <c r="N9" i="4"/>
  <c r="N7" i="4"/>
  <c r="B272" i="5" l="1"/>
  <c r="B245" i="5"/>
  <c r="F240" i="5"/>
  <c r="B242" i="5"/>
  <c r="B238" i="5"/>
  <c r="B98" i="5"/>
  <c r="B36" i="5"/>
  <c r="F27" i="5"/>
  <c r="F19" i="5"/>
  <c r="F18" i="5"/>
  <c r="F11" i="5"/>
  <c r="B10" i="5"/>
  <c r="B5" i="5"/>
  <c r="B244" i="5" l="1"/>
  <c r="B240" i="5"/>
  <c r="B241" i="5"/>
  <c r="D154" i="1" l="1"/>
  <c r="D198" i="5" s="1"/>
  <c r="B170" i="1"/>
  <c r="B163" i="1"/>
  <c r="B162" i="1"/>
  <c r="F163" i="1"/>
  <c r="F164" i="1"/>
  <c r="F162" i="1"/>
  <c r="B167" i="1"/>
  <c r="B165" i="1"/>
  <c r="B164" i="1"/>
  <c r="B194" i="1"/>
  <c r="B193" i="1"/>
  <c r="B191" i="1"/>
  <c r="B190" i="1"/>
  <c r="B189" i="1"/>
  <c r="D191" i="1"/>
  <c r="D242" i="5" s="1"/>
  <c r="D72" i="1" l="1"/>
  <c r="D152" i="5" s="1"/>
  <c r="D64" i="1"/>
  <c r="D144" i="5" s="1"/>
  <c r="D74" i="1" l="1"/>
  <c r="D55" i="1"/>
  <c r="W2" i="2"/>
  <c r="X2" i="2"/>
  <c r="V2" i="2"/>
  <c r="J34" i="4"/>
  <c r="K34" i="4"/>
  <c r="L34" i="4"/>
  <c r="J35" i="4"/>
  <c r="K35" i="4"/>
  <c r="L35" i="4"/>
  <c r="J36" i="4"/>
  <c r="K36" i="4"/>
  <c r="L36" i="4"/>
  <c r="J37" i="4"/>
  <c r="K37" i="4"/>
  <c r="L37" i="4"/>
  <c r="J38" i="4"/>
  <c r="K38" i="4"/>
  <c r="L38" i="4"/>
  <c r="J33" i="4"/>
  <c r="K33" i="4"/>
  <c r="L33" i="4"/>
  <c r="L32" i="4"/>
  <c r="K32" i="4"/>
  <c r="J32" i="4"/>
  <c r="B40" i="1"/>
  <c r="B96" i="5" s="1"/>
  <c r="B59" i="1" l="1"/>
  <c r="B139" i="5" s="1"/>
  <c r="D154" i="5"/>
  <c r="B58" i="1"/>
  <c r="B138" i="5" s="1"/>
  <c r="D56" i="1"/>
  <c r="D116" i="5" s="1"/>
  <c r="D115" i="5"/>
  <c r="B26" i="1"/>
  <c r="B57" i="5"/>
  <c r="B75" i="5"/>
  <c r="B74" i="5"/>
  <c r="D38" i="5"/>
  <c r="D39" i="5"/>
  <c r="F38" i="4"/>
  <c r="F37" i="4"/>
  <c r="F36" i="4"/>
  <c r="F35" i="4"/>
  <c r="F34" i="4"/>
  <c r="F33" i="4"/>
  <c r="J39" i="4"/>
  <c r="F32" i="4"/>
  <c r="B56" i="5" l="1"/>
  <c r="D75" i="1"/>
  <c r="D180" i="1" s="1"/>
  <c r="F138" i="5"/>
  <c r="F139" i="5"/>
  <c r="K39" i="4"/>
  <c r="L39" i="4"/>
  <c r="L7" i="4"/>
  <c r="B41" i="1"/>
  <c r="D35" i="1" l="1"/>
  <c r="D43" i="1" s="1"/>
  <c r="D178" i="1" s="1"/>
  <c r="D61" i="5"/>
  <c r="D155" i="5"/>
  <c r="M8" i="4"/>
  <c r="M7" i="4"/>
  <c r="M9" i="4"/>
  <c r="D62" i="5" l="1"/>
  <c r="S9" i="4"/>
  <c r="T9" i="4"/>
  <c r="R9" i="4"/>
  <c r="S7" i="4"/>
  <c r="T7" i="4"/>
  <c r="R7" i="4"/>
  <c r="R8" i="4"/>
  <c r="T8" i="4"/>
  <c r="S8" i="4"/>
  <c r="B102" i="5"/>
  <c r="S10" i="4" l="1"/>
  <c r="N20" i="4" s="1"/>
  <c r="T10" i="4"/>
  <c r="R10" i="4"/>
  <c r="M20" i="4" s="1"/>
  <c r="B204" i="1"/>
  <c r="B80" i="1"/>
  <c r="B187" i="1"/>
  <c r="N22" i="4" l="1"/>
  <c r="F19" i="1"/>
  <c r="B3" i="1"/>
  <c r="F43" i="1" l="1"/>
  <c r="D102" i="5"/>
  <c r="D45" i="1"/>
  <c r="D46" i="1"/>
  <c r="D179" i="1" s="1"/>
  <c r="D196" i="1" l="1"/>
  <c r="D264" i="5" s="1"/>
  <c r="F173" i="1"/>
  <c r="D173" i="1"/>
  <c r="D181" i="1" s="1"/>
  <c r="F181" i="1" s="1"/>
  <c r="D105" i="5"/>
  <c r="D104" i="5"/>
  <c r="D182" i="1"/>
  <c r="F45" i="1"/>
  <c r="H137" i="1"/>
  <c r="D232" i="5" l="1"/>
  <c r="D229" i="5"/>
  <c r="F233" i="5" s="1"/>
  <c r="D230" i="5"/>
  <c r="D233" i="5"/>
  <c r="F182" i="1"/>
  <c r="F230" i="5" l="1"/>
  <c r="F180" i="1"/>
  <c r="D231" i="5"/>
  <c r="F231" i="5" s="1"/>
  <c r="F179" i="1"/>
  <c r="F14" i="1"/>
  <c r="F13" i="1"/>
  <c r="F18" i="1" l="1"/>
  <c r="F15" i="1"/>
  <c r="F10" i="1"/>
  <c r="F17" i="1"/>
  <c r="F16" i="1"/>
  <c r="F12" i="1"/>
  <c r="F11" i="1"/>
  <c r="D183" i="1" l="1"/>
  <c r="D224" i="5"/>
  <c r="D201" i="1" l="1"/>
  <c r="D206" i="1" s="1"/>
  <c r="F206" i="1" s="1"/>
  <c r="F183" i="1"/>
  <c r="D234" i="5"/>
  <c r="F234" i="5" s="1"/>
  <c r="F201" i="1" l="1"/>
  <c r="D269" i="5"/>
  <c r="D274" i="5"/>
  <c r="D218" i="1"/>
  <c r="D285" i="5" s="1"/>
</calcChain>
</file>

<file path=xl/sharedStrings.xml><?xml version="1.0" encoding="utf-8"?>
<sst xmlns="http://schemas.openxmlformats.org/spreadsheetml/2006/main" count="585" uniqueCount="380">
  <si>
    <t>Ja</t>
  </si>
  <si>
    <t>Nei</t>
  </si>
  <si>
    <t>Herav uunngåelige faste kostnader</t>
  </si>
  <si>
    <t>Ble foretaket registrert i Brønnøysundregistrene før 1. mars 2020?</t>
  </si>
  <si>
    <t>Er foretaket skattepliktig til Norge?</t>
  </si>
  <si>
    <t>Delvis</t>
  </si>
  <si>
    <t>Hadde foretaket et negativt ordinært resultat før skattekostnad i 2019?</t>
  </si>
  <si>
    <t xml:space="preserve">Foretakets navn:  </t>
  </si>
  <si>
    <t>Post 6300 leie av lokale, men begrenset til kostnad for næringslokaler</t>
  </si>
  <si>
    <t>Post 6340 Lys og varme</t>
  </si>
  <si>
    <t>Post 6395 Renovasjon, vann, avløp, renhold, men bare i den grad kostnaden utgjør offentlige avgifter og gebyrer</t>
  </si>
  <si>
    <t>Post 6400 Leie maskiner, inventar, transportmidler o.l.</t>
  </si>
  <si>
    <t>Post 6700 Fremmed tjeneste (regnskap, revisjonshonorar, rådgivning o.l.), men begrenset til kostnad for revisjon og regnskap</t>
  </si>
  <si>
    <t>Post 6995 Elektronisk kommunikasjon, porto mv.</t>
  </si>
  <si>
    <t>Post 7040 Forsikring og avgift på transportmidler</t>
  </si>
  <si>
    <t>Post 7490 Kontingenter, men bare i den grad kostnaden er fradragsberettiget</t>
  </si>
  <si>
    <t>Post 7500 Forsikringspremie.</t>
  </si>
  <si>
    <t>Beregningsmodell for foretak med vesentlig omsetningsfall pga koronautbruddet</t>
  </si>
  <si>
    <t>Post 6310 i Næringsoppgave 1, leasingleie av bil</t>
  </si>
  <si>
    <t>Nei, men er eiers hovedinntektskilde</t>
  </si>
  <si>
    <t>Eventuelle kommentarer</t>
  </si>
  <si>
    <t>Svarkategori</t>
  </si>
  <si>
    <t>Søknadsperiode</t>
  </si>
  <si>
    <t>Har foretaket faste uunngåelige kostnader i perioden det søkes kompensasjon for?</t>
  </si>
  <si>
    <t>2. Beregning av omsetningsreduksjon</t>
  </si>
  <si>
    <t>Hvilken periode søker foretaket tilskudd for?</t>
  </si>
  <si>
    <t>1. Innledende vurdering av foretaket som vil søke om tilskudd</t>
  </si>
  <si>
    <t>Ble foretaket etablert mer enn ett år tidligere enn perioden det søkes om tilskudd for?</t>
  </si>
  <si>
    <t>Har foretaket et omsetningsfall på minimum 30 prosent som følge av koronapandemien?</t>
  </si>
  <si>
    <t>SKRIV INN OMSETNING I SAMMENLIGNINGSPERIODEN</t>
  </si>
  <si>
    <t>SKRIV INN OMSETNING I SØKNADSPERIODEN</t>
  </si>
  <si>
    <t>Grunnlag for utmåling av tilskuddet</t>
  </si>
  <si>
    <t>Øvre grense på tilskuddet iht kontroll mot ORFS</t>
  </si>
  <si>
    <t>Skriv inn regnskapførers eller revisors honorar eksl. mva for utarbeidelse av bekreftelse</t>
  </si>
  <si>
    <t>Samlet kostnad i perioden</t>
  </si>
  <si>
    <t>NB! Foretak som er berettiget tilskudd vil også få dekt kostnader til utarbeidelse av bekreftelse fra regnskapsfører eller revisor.</t>
  </si>
  <si>
    <t>Kostnaden refunderes med 80 prosent, og inntil 10 000 kroner per søknad.</t>
  </si>
  <si>
    <t>Dyrestell. ref. forskriften § 3-2 (13. ledd)</t>
  </si>
  <si>
    <t>Bekreftelse av innhold i søknad om tilskudd for foretak med vesentlig omsetningsfall</t>
  </si>
  <si>
    <t>Hvilken organisasjonsform har foretaket?</t>
  </si>
  <si>
    <t>Selskapsform</t>
  </si>
  <si>
    <t>Aksjeselskap (AS)</t>
  </si>
  <si>
    <t>Ansvarlig selskap (ANS/DA)</t>
  </si>
  <si>
    <t>Enkeltpersonforetak (ENK)</t>
  </si>
  <si>
    <t>Samvirkeforetak (SA)</t>
  </si>
  <si>
    <t>Annet</t>
  </si>
  <si>
    <t>Næringskoder</t>
  </si>
  <si>
    <t>A - Jordbruk, skogbruk og fiske</t>
  </si>
  <si>
    <t>B - Bergverksdrift og utvinning</t>
  </si>
  <si>
    <t>C - Industri</t>
  </si>
  <si>
    <t>D - Elektrisitets-, gass-, damp- og varmtvannsforsyning</t>
  </si>
  <si>
    <t>E - Vannforsyning, avløps- og renovasjonsvirksomhet</t>
  </si>
  <si>
    <t>F - Bygge- og anleggsvirksomhet</t>
  </si>
  <si>
    <t>G - Varehandel, reparasjon av motorvogner</t>
  </si>
  <si>
    <t>H - Transport og lagring</t>
  </si>
  <si>
    <t>I - Overnattings- og serveringsvirksomhet</t>
  </si>
  <si>
    <t>J - Informasjon og kommunikasjon</t>
  </si>
  <si>
    <t>K - Finansierings- og forsikringsvirksomhet</t>
  </si>
  <si>
    <t>L - Omsetning og drift av fast eiendom</t>
  </si>
  <si>
    <t>M - Faglig, vitenskapelig og teknisk tjenesteyting</t>
  </si>
  <si>
    <t>N - Forretningsmessig tjenesteyting</t>
  </si>
  <si>
    <t>O - Offentlig administrasjon og forsvar, og trygdeordninger underlagt offentlig forvaltning</t>
  </si>
  <si>
    <t>P - Undervisning</t>
  </si>
  <si>
    <t>Q - Helse- og sosialtjenester</t>
  </si>
  <si>
    <t>R - Kulturell virksomhet, underholdning og fritidsaktiviteter</t>
  </si>
  <si>
    <t>S - Annen tjenesteyting</t>
  </si>
  <si>
    <t>T - Lønnet arbeid i private husholdninger</t>
  </si>
  <si>
    <t>U - Internasjonale organisasjoner og organer</t>
  </si>
  <si>
    <t>Driver foretaket virksomhet innen flere næringer</t>
  </si>
  <si>
    <t>Kontrollhandlinger</t>
  </si>
  <si>
    <t>Er næringskoden angitt i søknadsskjemaet i samsvar med din kjennskap til foretakets virksomhet?</t>
  </si>
  <si>
    <t>Ja, vi er foretakets regnskapsfører</t>
  </si>
  <si>
    <t>Ja, vi er foretakets revisor</t>
  </si>
  <si>
    <t>Samarbeidsform</t>
  </si>
  <si>
    <t>Er foretaket i et løpende kundeforhold med din bedrift</t>
  </si>
  <si>
    <t>Kommentarer / henvisninger</t>
  </si>
  <si>
    <t>Status</t>
  </si>
  <si>
    <t>Ikke aktuelt</t>
  </si>
  <si>
    <t>Utført</t>
  </si>
  <si>
    <t>Utstedte kreditnotaer</t>
  </si>
  <si>
    <t>Andre bokførte korreksjoner (manuelle posteringer)</t>
  </si>
  <si>
    <t>For foretak med langsiktige tilvirkningskontrakter:</t>
  </si>
  <si>
    <t>KONTROLL AV OMSETNING I SAMMENLIGNINGSPERIODEN</t>
  </si>
  <si>
    <t>KONTROLL AV OMSETNING I SØKNADSPERIODEN</t>
  </si>
  <si>
    <t>KONTROLL AV OMSETNING I BÅDE SAMMENLIGNINGS- OG SØKNADSPERIODEN</t>
  </si>
  <si>
    <t>KONTROLL AV ANNEN ØKONOMISK STØTTE</t>
  </si>
  <si>
    <t>KONTROLL AV FASTE UUNNGÅELIGE KOSTNADER</t>
  </si>
  <si>
    <t>Henvisning til hovedbokskonto, bilag, avtaler mv.</t>
  </si>
  <si>
    <t>Post 6300  - spesifikasjon</t>
  </si>
  <si>
    <t>Post 6310 - spesifikasjon</t>
  </si>
  <si>
    <t>Post 6340 - spesifikasjon</t>
  </si>
  <si>
    <t>Post 6395 - spesifikasjon</t>
  </si>
  <si>
    <t>Post 6400 - spesifikasjon</t>
  </si>
  <si>
    <t>Post 6700 - spesifikasjon</t>
  </si>
  <si>
    <t>Post 6995 - spesifikasjon</t>
  </si>
  <si>
    <t>Post 7040 - spesifikasjon</t>
  </si>
  <si>
    <t>Post 7490 - spesifikasjon</t>
  </si>
  <si>
    <t>Post 7500 - spesifikasjon</t>
  </si>
  <si>
    <t>Netto rentekostnad - spesifikasjon</t>
  </si>
  <si>
    <t>Dyrestell, lønn mv. - spesifikasjon</t>
  </si>
  <si>
    <t>Har foretaket vært overdrager eller overtager i fisjon som er registrert gjennomført 1. januar 2020 eller senere?</t>
  </si>
  <si>
    <t>Driver foretaket virksomhet som er lovlig (dvs. har nødvendige tillatelser, godkjenninger, registreringer, bevilgninger mv.?</t>
  </si>
  <si>
    <t>Driver foretaket innen næringer som IKKE omfattes av kompensasjonsordningen, 
ref. forskriften § 1-3?</t>
  </si>
  <si>
    <t>Er foretaket under konkursbehandling, registrert som under avvikling i Foretaksregistert, eller har personer med ledende roller som er ilagt konkurskarantene?</t>
  </si>
  <si>
    <t>4. Faste kostnader</t>
  </si>
  <si>
    <t>Har foretaket søkt om og/eller fått utbetalt erstatning via forsikringsordning, som ledd i rettsprosess, voldgift eller gjennom andre kilder og som dekker den samme skaden?</t>
  </si>
  <si>
    <t>Nei, men planlegger å søke</t>
  </si>
  <si>
    <t>Nei, og kommer ikke til å søke</t>
  </si>
  <si>
    <t xml:space="preserve"> Øvre grense på tilskuddet iht kontroll mot ORFS</t>
  </si>
  <si>
    <t xml:space="preserve"> Sum faste uunngåelige kostnader i perioden det søkes kompensasjon for</t>
  </si>
  <si>
    <t xml:space="preserve"> Omsetningsreduksjon i kroner</t>
  </si>
  <si>
    <t xml:space="preserve"> Omsetningsreduksjon i prosent</t>
  </si>
  <si>
    <t xml:space="preserve"> Justeringsfaktor for kompensasjon</t>
  </si>
  <si>
    <t xml:space="preserve"> Krav til minimum omsetningsreduksjon</t>
  </si>
  <si>
    <r>
      <rPr>
        <b/>
        <i/>
        <sz val="11"/>
        <color rgb="FFFF0000"/>
        <rFont val="Calibri"/>
        <family val="2"/>
        <scheme val="minor"/>
      </rPr>
      <t>NB!</t>
    </r>
    <r>
      <rPr>
        <i/>
        <sz val="11"/>
        <color rgb="FFFF0000"/>
        <rFont val="Calibri"/>
        <family val="2"/>
        <scheme val="minor"/>
      </rPr>
      <t xml:space="preserve"> Trykk </t>
    </r>
    <r>
      <rPr>
        <i/>
        <sz val="14"/>
        <color rgb="FFFF0000"/>
        <rFont val="Calibri"/>
        <family val="2"/>
        <scheme val="minor"/>
      </rPr>
      <t>+</t>
    </r>
    <r>
      <rPr>
        <i/>
        <sz val="11"/>
        <color rgb="FFFF0000"/>
        <rFont val="Calibri"/>
        <family val="2"/>
        <scheme val="minor"/>
      </rPr>
      <t xml:space="preserve"> i venstremarg for spesifikasjoner (cellene er gruppert)</t>
    </r>
  </si>
  <si>
    <t>ANDRE TILSKUDD SOM SKAL REGNES SOM OMSETNING</t>
  </si>
  <si>
    <t>I 2019</t>
  </si>
  <si>
    <t>I jan. og feb. 2020</t>
  </si>
  <si>
    <t>NB! modellen tar kun høyde for privateide foretak (dvs. ingen unntakstilfeller)</t>
  </si>
  <si>
    <t>Direkte overliggende foretak (av foretak A)</t>
  </si>
  <si>
    <t>Hvis direkte overliggende selskap har relasjoner mellom seg, må du angi eierandelene i denne matrisen.</t>
  </si>
  <si>
    <t>Overført andel i foretak A gitt interne relasjoner mellom overliggende foretak</t>
  </si>
  <si>
    <t>Fra sist godkjente årsregnskap</t>
  </si>
  <si>
    <t>Beløp til A sin eierandel</t>
  </si>
  <si>
    <t>Selskapsnavn</t>
  </si>
  <si>
    <t>org.nr.</t>
  </si>
  <si>
    <r>
      <t xml:space="preserve">Eierandel i </t>
    </r>
    <r>
      <rPr>
        <b/>
        <sz val="11"/>
        <color theme="1"/>
        <rFont val="Calibri"/>
        <family val="2"/>
        <scheme val="minor"/>
      </rPr>
      <t>A</t>
    </r>
    <r>
      <rPr>
        <sz val="11"/>
        <color theme="1"/>
        <rFont val="Calibri"/>
        <family val="2"/>
        <scheme val="minor"/>
      </rPr>
      <t xml:space="preserve"> %</t>
    </r>
  </si>
  <si>
    <t>Foretak F</t>
  </si>
  <si>
    <t>Foretak G</t>
  </si>
  <si>
    <t>Foretak E</t>
  </si>
  <si>
    <t>Klassifisering</t>
  </si>
  <si>
    <t xml:space="preserve">Omsetning </t>
  </si>
  <si>
    <t>Antall ansatte</t>
  </si>
  <si>
    <t>Balansesum</t>
  </si>
  <si>
    <t>Omsetning</t>
  </si>
  <si>
    <t>Foretak A (mitt foretak)</t>
  </si>
  <si>
    <t>Foretak A</t>
  </si>
  <si>
    <t>Direkte underliggende foretak (av foretak A)</t>
  </si>
  <si>
    <r>
      <rPr>
        <b/>
        <sz val="11"/>
        <color theme="1"/>
        <rFont val="Calibri"/>
        <family val="2"/>
        <scheme val="minor"/>
      </rPr>
      <t>A</t>
    </r>
    <r>
      <rPr>
        <sz val="11"/>
        <color theme="1"/>
        <rFont val="Calibri"/>
        <family val="2"/>
        <scheme val="minor"/>
      </rPr>
      <t xml:space="preserve"> sin eierandel %</t>
    </r>
  </si>
  <si>
    <t>Foretak B</t>
  </si>
  <si>
    <t>Foretak C</t>
  </si>
  <si>
    <t>Foretak D</t>
  </si>
  <si>
    <t>…..</t>
  </si>
  <si>
    <t>Mars og april 2021</t>
  </si>
  <si>
    <t>Mai og juni 2021</t>
  </si>
  <si>
    <t>Ble foretaket etablert minimum to år før perioden det søkes om tilskudd for?</t>
  </si>
  <si>
    <t>6. Kontroll mot eventuelle begrensninger av tilskuddet</t>
  </si>
  <si>
    <t>7. Kontroll mot evt. negativt ordinært resultat før skatt (ORFS) i 2019 eller 2020</t>
  </si>
  <si>
    <t>Sum grunnlag for klassifisering som SMB</t>
  </si>
  <si>
    <t>Medium</t>
  </si>
  <si>
    <t>Liten</t>
  </si>
  <si>
    <t>Mikro</t>
  </si>
  <si>
    <t>Stor</t>
  </si>
  <si>
    <t>Ansatte</t>
  </si>
  <si>
    <t>Omsetning (mill)</t>
  </si>
  <si>
    <t>Balanse</t>
  </si>
  <si>
    <t>Klassifisering:</t>
  </si>
  <si>
    <t>NB! Hvis arkfanen "Eierstruktur" er fylt ut kan disse tallene hentes derifra.</t>
  </si>
  <si>
    <t>Honorar til utbetaling (80 prosent)</t>
  </si>
  <si>
    <t>Lønn og andre personalkostnader</t>
  </si>
  <si>
    <t>Varekostnad</t>
  </si>
  <si>
    <t>Endring i beholdning av varer under tilvirkning og ferdig tilvirkede varer</t>
  </si>
  <si>
    <t>Avskrivning på varige driftsmidler og immaterielle eiendeler</t>
  </si>
  <si>
    <t>Annen driftskostnad (inkludert faste uunngåelige kostnader)</t>
  </si>
  <si>
    <t>Netto rentekostnader/- netto renteinntekt (det er de samme rentene som inngår som faste uunngåelige kostnader som kan regnes med, men slik at netto renteinntekt skal regnes med)</t>
  </si>
  <si>
    <t>Offentlig tilskudd, erstatningsutbetaling og annen dekning for nevnte kostnader (men ikke tilskudd som dekker tapt varelager)</t>
  </si>
  <si>
    <t>Omsetning av varer og tjenester i tilskuddsperioden</t>
  </si>
  <si>
    <t>Offentlig tilskudd, erstatningsutbetaling og annen dekning av inntektsbortfall (dette gjelder både tilskudd som er inkludert i omsetningen ved beregning av omsetningsfall og andre tilskudd. Tilskudd etter denne ordningen er eneste unntak.)</t>
  </si>
  <si>
    <t>Sum inntekter</t>
  </si>
  <si>
    <t>Sum kostnader</t>
  </si>
  <si>
    <t>Inntekter i tilskuddsperioden</t>
  </si>
  <si>
    <t>Kostnader i tilskuddsperioden</t>
  </si>
  <si>
    <t xml:space="preserve"> Driftsresultat i tilskuddsperioden</t>
  </si>
  <si>
    <t xml:space="preserve"> Klassifisering av foretaket</t>
  </si>
  <si>
    <t xml:space="preserve"> Maksimalt tilskudd i prosent av underskudd</t>
  </si>
  <si>
    <t xml:space="preserve"> Maksimalt tilskudd i kroner av underskudd</t>
  </si>
  <si>
    <t>3. Beregning av driftsresultat</t>
  </si>
  <si>
    <t>Er foretaket registrert i AA-registeret på tildelingstidspunktet, og har ansatte? (minst en ansatt må ha fått utbetalt lønn i minimum en måned i perioden fra august 2019 til mars 2020)</t>
  </si>
  <si>
    <t>Har foretaket et omsetningsfall på minimum 30 prosent, som hovedsakelig skyldes koronapandemien?</t>
  </si>
  <si>
    <t xml:space="preserve"> Estimert tilskudd etter sjekk mot maksimalbegrensninger</t>
  </si>
  <si>
    <t>Har foretaket vært overdrager eller overtager i fisjon som er registrert gjennomført 1. mars 2020 eller senere?</t>
  </si>
  <si>
    <t>Har foretaket rapportert, betalt og kan dokumentere iht til forskriften § 2-6? 
(f. eks eierstruktur, bankkonto, betaling av skatter og avgifter, levert skattemelding mv.)</t>
  </si>
  <si>
    <t>Driver foretaket innen næringer som IKKE omfattes av kompensasjonsordningen?
jf. forskriften § 1-3 første ledd?</t>
  </si>
  <si>
    <t>Ja, men etter unntak, jf. forskriften § 1-3 annet ledd</t>
  </si>
  <si>
    <t>Oppgi antall ansatte i foretaket fra sist godkjente årsregnskap</t>
  </si>
  <si>
    <t>Oppgi omsetning i foretaket fra sist godkjente årsregnskap</t>
  </si>
  <si>
    <t>Oppgi balansesum i foretaket fra sist godkjente årsregnskap</t>
  </si>
  <si>
    <t>Søker foretaket om kompensasjon for tapt varelager i mars og april 2021, jf. forskriften § 3-6?</t>
  </si>
  <si>
    <t>Netto rentekostnad  jf. forskriften § 3-2 (3. ledd)</t>
  </si>
  <si>
    <t>Dyrestell, lønn mv. jf. forskriften § 3-2 (13. ledd)</t>
  </si>
  <si>
    <t>Kostnader til myndighetspålagt tilsyn og kontroll  
jf. forskriften § 3-2 (13. ledd)</t>
  </si>
  <si>
    <t>Medlemskontingent til landsdelsskap eller destinasjonsselskap 
jf. forskriften § 3-2 (14. ledd)</t>
  </si>
  <si>
    <t>OMSETNING I SAMMENLIGNINGSPERIODEN</t>
  </si>
  <si>
    <t>OMSETNING I SØKNADSPERIODEN</t>
  </si>
  <si>
    <t>Netto tilskudd og erstatning for varelager, inklusive kostnader til bekreftelse</t>
  </si>
  <si>
    <t>Foreligger det en signert oppdragsavtale mellom foretaket og din bedrift om utarbeidelse/bekreftelse av søknad om tilskudd?</t>
  </si>
  <si>
    <t>KONTROLLHANDLINGER</t>
  </si>
  <si>
    <t>Skriv inn foretakets organisasjonsnummer (9 siffer)</t>
  </si>
  <si>
    <t>Er foretaket registrert i AA-registeret på tildelingstidspunktet, og har ansatte? (minst en ansatt må ha fått utbetalt lønn i minimum en måned i perioden fra august 2019 til september 2020).</t>
  </si>
  <si>
    <t>Leverte varer eller utførte tjenester</t>
  </si>
  <si>
    <t>Ta et tilfeldig utvalg på 5 salgsbilag i sammenligningsperioden og kontroller om det foreligger underliggende dokumentasjon som viser at inntekten er riktig periodisert</t>
  </si>
  <si>
    <t>Ta et tilfeldig utvalg av kreditnotaene som tilsvarer 20 % av kreditnotaene i perioden etter sammenligningsperioden (minimum 2 og maksimum 5) og kontroller om det foreligger dokumentasjon som tilsier at kreditnotaen er reell og om de er tatt med i rett periode.</t>
  </si>
  <si>
    <t xml:space="preserve">Ta et tilfeldig utvalg korreksjoner i sammenligningsperioden som tilsvarer 20 % av antall korreksjoner (minimum 2 og maksimum 5) og kontroller om det foreligger dokumentasjon som tilsier at korreksjonen er reell og tatt med i rett periode. </t>
  </si>
  <si>
    <t xml:space="preserve"> Kontroller om rapportert omsetning for tilvirkningskontraktene er basert på løpende avregnings metode, inkludert fortjeneste.</t>
  </si>
  <si>
    <t>Ta et tilfeldig utvalg på 5 salgsbilag i perioden etter tilskuddsperioden og kontroller om det foreligger underliggende dokumentasjon som viser at inntekten er riktig periodisert</t>
  </si>
  <si>
    <t>For foretak med kontantomsetning</t>
  </si>
  <si>
    <t>Kontroller at alle dagsoppgjør i tilskuddsperioden er tatt med som omsetning i perioden.</t>
  </si>
  <si>
    <t>Utstedte kreditnota</t>
  </si>
  <si>
    <t>Ta et tilfeldig utvalg av kreditnotaene som tilsvarer 20 % av kreditnotaene i tilskuddsperioden (minimum 2 og maksimum 5) og kontroller om det foreligger dokumentasjon som tilsier at kreditnotaen er reell og om de er tatt med i rett periode</t>
  </si>
  <si>
    <t>Ta et tilfeldig utvalg korreksjoner i tilskuddsperioden som tilsvarer 20 % av antall korreksjoner (minimum 2 og maksimum 5) og kontroller om det foreligger dokumentasjon som tilsier at korreksjonen er reell og tatt med i rett periode</t>
  </si>
  <si>
    <t>Er rapportert omsetning for tilvirkningskontraktene basert på løpende avregnings metode, inkludert fortjeneste?</t>
  </si>
  <si>
    <t>Foreligger det en oppstilling som underbygger omsetningstallene (f. eks arkfanen "Beregningsmodell") som ligger til grunn for søknaden (forskriften § 4-6) som inneholder…</t>
  </si>
  <si>
    <t>Henvisning til relevant regnskapsmateriale?</t>
  </si>
  <si>
    <t>Informasjon om hvordan omsetningen er periodisert?</t>
  </si>
  <si>
    <t>Krav til rapportert omsetning i søknaden</t>
  </si>
  <si>
    <t>Er all omsetning som tilfredsstiller kravene i forskriften § 2-2 tatt med i rapportert omsetning</t>
  </si>
  <si>
    <t>Forespør virksomhetens ledelse om de har mottatt annet tilskudd eller erstatning for inntektsbortfall i forbindelse med virusutbruddet, og kontroller at det er tatt med i søknaden.  jf. forskriften § 2-2 annet ledd.</t>
  </si>
  <si>
    <t>Tilskudd gitt etter denne forskrift for tidligere perioder skal ikke tas med. Det samme gjelder tilskudd gitt etter "kompensasjonsordning 1", tilskudd ved avbrutt permittering, tilskudd til likviditetsstyrking i reiselivsnæringen (Innovasjon Norge), eller gaver fra privatpersoner opptil 3 000 kroner samlet i perioden det søkes om tilskudd for. Uspesifisert støtte fra kommunene som er gitt i tråd med regelverket om bagatellmessig støtte, anses heller ikke som omsetning.</t>
  </si>
  <si>
    <t>Gjennomgå avstemming av bankkontoer for utgangen av tilskuddsperioden og kontroller at det ikke foreligger åpne poster på innbetalte, ikke bokførte offentlige tilskudd som skulle vært tatt hensyn til i søknaden</t>
  </si>
  <si>
    <t>Foreligger det en oppstilling som underbygger faste uunngåelige kostnader i søknaden? Dette kan f eks være arkfanen «Beregningsmodell» i denne Excel-filen</t>
  </si>
  <si>
    <t>Inneholder oppstillingen henvisning til relevant regnskapsmateriale og informasjon om hvordan kostnaden er periodisert?</t>
  </si>
  <si>
    <t>Ta et tilfeldig utvalg underlagsdokumentasjon (kostnadsbilag, avtaler o.l.) pr post i oppstillingen, som totalt utgjør 20 % av kostnadene pr post (minimum 2 og maksimum 5) og kontroller følgende:</t>
  </si>
  <si>
    <t>1) Bekreft at kostnaden(e) kvalifiserer til å være fast og uunngåelig</t>
  </si>
  <si>
    <t>2) Bekreft at det foreligger underliggende dokumentasjon som viser at kostnaden følger av avtale som ikke er inngått eller økt ut over normal prisjustering etter 1. september  2020, jf. forskriften § 3-2 fjerde ledd</t>
  </si>
  <si>
    <t>3) Bekreft at kostnaden kan henføres til angitt post i søknaden</t>
  </si>
  <si>
    <r>
      <rPr>
        <b/>
        <sz val="11"/>
        <color theme="1"/>
        <rFont val="Calibri"/>
        <family val="2"/>
        <scheme val="minor"/>
      </rPr>
      <t xml:space="preserve">Post 6300 </t>
    </r>
    <r>
      <rPr>
        <sz val="11"/>
        <color theme="1"/>
        <rFont val="Calibri"/>
        <family val="2"/>
        <scheme val="minor"/>
      </rPr>
      <t>leie av lokale, men begrenset til kostnad for næringslokaler</t>
    </r>
  </si>
  <si>
    <r>
      <rPr>
        <b/>
        <sz val="11"/>
        <color theme="1"/>
        <rFont val="Calibri"/>
        <family val="2"/>
        <scheme val="minor"/>
      </rPr>
      <t>Post 6310</t>
    </r>
    <r>
      <rPr>
        <sz val="11"/>
        <color theme="1"/>
        <rFont val="Calibri"/>
        <family val="2"/>
        <scheme val="minor"/>
      </rPr>
      <t xml:space="preserve"> i Næringsoppgave 1, leasingleie av bil</t>
    </r>
  </si>
  <si>
    <r>
      <rPr>
        <b/>
        <sz val="11"/>
        <color theme="1"/>
        <rFont val="Calibri"/>
        <family val="2"/>
        <scheme val="minor"/>
      </rPr>
      <t>Post 6340</t>
    </r>
    <r>
      <rPr>
        <sz val="11"/>
        <color theme="1"/>
        <rFont val="Calibri"/>
        <family val="2"/>
        <scheme val="minor"/>
      </rPr>
      <t xml:space="preserve"> Lys og varme</t>
    </r>
  </si>
  <si>
    <r>
      <rPr>
        <b/>
        <sz val="11"/>
        <color theme="1"/>
        <rFont val="Calibri"/>
        <family val="2"/>
        <scheme val="minor"/>
      </rPr>
      <t>Post 6395</t>
    </r>
    <r>
      <rPr>
        <sz val="11"/>
        <color theme="1"/>
        <rFont val="Calibri"/>
        <family val="2"/>
        <scheme val="minor"/>
      </rPr>
      <t xml:space="preserve"> Renovasjon, vann, avløp, renhold, men bare i den grad kostnaden utgjør offentlige avgifter og gebyrer</t>
    </r>
  </si>
  <si>
    <r>
      <rPr>
        <b/>
        <sz val="11"/>
        <color theme="1"/>
        <rFont val="Calibri"/>
        <family val="2"/>
        <scheme val="minor"/>
      </rPr>
      <t>Post 6400</t>
    </r>
    <r>
      <rPr>
        <sz val="11"/>
        <color theme="1"/>
        <rFont val="Calibri"/>
        <family val="2"/>
        <scheme val="minor"/>
      </rPr>
      <t xml:space="preserve"> Leie maskiner, inventar, transportmidler o.l.</t>
    </r>
  </si>
  <si>
    <r>
      <rPr>
        <b/>
        <sz val="11"/>
        <color theme="1"/>
        <rFont val="Calibri"/>
        <family val="2"/>
        <scheme val="minor"/>
      </rPr>
      <t>Post 6700</t>
    </r>
    <r>
      <rPr>
        <sz val="11"/>
        <color theme="1"/>
        <rFont val="Calibri"/>
        <family val="2"/>
        <scheme val="minor"/>
      </rPr>
      <t xml:space="preserve"> Fremmed tjeneste (regnskap, revisjonshonorar, rådgivning o.l.), men begrenset til kostnad for revisjon og regnskap</t>
    </r>
  </si>
  <si>
    <r>
      <rPr>
        <b/>
        <sz val="11"/>
        <color theme="1"/>
        <rFont val="Calibri"/>
        <family val="2"/>
        <scheme val="minor"/>
      </rPr>
      <t>Post 6995</t>
    </r>
    <r>
      <rPr>
        <sz val="11"/>
        <color theme="1"/>
        <rFont val="Calibri"/>
        <family val="2"/>
        <scheme val="minor"/>
      </rPr>
      <t xml:space="preserve"> Elektronisk kommunikasjon, porto mv.</t>
    </r>
  </si>
  <si>
    <r>
      <rPr>
        <b/>
        <sz val="11"/>
        <color theme="1"/>
        <rFont val="Calibri"/>
        <family val="2"/>
        <scheme val="minor"/>
      </rPr>
      <t>Post 7040</t>
    </r>
    <r>
      <rPr>
        <sz val="11"/>
        <color theme="1"/>
        <rFont val="Calibri"/>
        <family val="2"/>
        <scheme val="minor"/>
      </rPr>
      <t xml:space="preserve"> Forsikring og avgift på transportmidler</t>
    </r>
  </si>
  <si>
    <r>
      <rPr>
        <b/>
        <sz val="11"/>
        <color theme="1"/>
        <rFont val="Calibri"/>
        <family val="2"/>
        <scheme val="minor"/>
      </rPr>
      <t>Post 7490</t>
    </r>
    <r>
      <rPr>
        <sz val="11"/>
        <color theme="1"/>
        <rFont val="Calibri"/>
        <family val="2"/>
        <scheme val="minor"/>
      </rPr>
      <t xml:space="preserve"> Kontingenter, men bare i den grad kostnaden er fradragsberettiget</t>
    </r>
  </si>
  <si>
    <r>
      <rPr>
        <b/>
        <sz val="11"/>
        <color theme="1"/>
        <rFont val="Calibri"/>
        <family val="2"/>
        <scheme val="minor"/>
      </rPr>
      <t>Post 7500</t>
    </r>
    <r>
      <rPr>
        <sz val="11"/>
        <color theme="1"/>
        <rFont val="Calibri"/>
        <family val="2"/>
        <scheme val="minor"/>
      </rPr>
      <t xml:space="preserve"> Forsikringspremie.</t>
    </r>
  </si>
  <si>
    <r>
      <rPr>
        <b/>
        <sz val="11"/>
        <color theme="1"/>
        <rFont val="Calibri"/>
        <family val="2"/>
        <scheme val="minor"/>
      </rPr>
      <t>Dyrestell</t>
    </r>
    <r>
      <rPr>
        <sz val="11"/>
        <color theme="1"/>
        <rFont val="Calibri"/>
        <family val="2"/>
        <scheme val="minor"/>
      </rPr>
      <t>. ref. forskriften § 3-2 (13. ledd)</t>
    </r>
  </si>
  <si>
    <r>
      <rPr>
        <b/>
        <sz val="11"/>
        <color theme="1"/>
        <rFont val="Calibri"/>
        <family val="2"/>
        <scheme val="minor"/>
      </rPr>
      <t>Netto rentekostnad og lønn mv</t>
    </r>
    <r>
      <rPr>
        <sz val="11"/>
        <color theme="1"/>
        <rFont val="Calibri"/>
        <family val="2"/>
        <scheme val="minor"/>
      </rPr>
      <t>.  ref. forskriften § 3-2 (3. ledd)</t>
    </r>
  </si>
  <si>
    <t xml:space="preserve">KONTROLL AV NEGATIVT ORFS FØR SKATT </t>
  </si>
  <si>
    <t>KONTROLLHANDLINGER FOR PERIODEN</t>
  </si>
  <si>
    <t>Foreligger det en oppstilling som underbygger inntektene og kostnadene som ligger til grunn for resultat før skatt, som inneholder…</t>
  </si>
  <si>
    <t>KONTROLLHANDLINGER FOR INNTEKTENE I PERIODEN</t>
  </si>
  <si>
    <t>For foretak med langsiktige tilvirkningskontrakter</t>
  </si>
  <si>
    <t>KONTROLLHANDLINGER FOR KOSTNADENE I PERIODEN</t>
  </si>
  <si>
    <t>OPPFØLGING HVIS DET ER AVDEKKET FEIL</t>
  </si>
  <si>
    <t>Revisor eller autorisert regnskapsfører kan bare avgi sin bekreftelse dersom kontrollhandlingene ikke har avdekket feil. Hvis en kontrollhandling har avdekket feil, må foretaket korrigere feilen i søknaden. Kontrollhandlingen på den aktuelle posten må utføres på nytt.</t>
  </si>
  <si>
    <t>Bekreftelse kan heller ikke avgis hvis revisoren eller regnskapsføreren har kjennskap til at søkeren for øvrig har gitt uriktige opplysninger i søknaden.</t>
  </si>
  <si>
    <t xml:space="preserve"> Konklusjon </t>
  </si>
  <si>
    <r>
      <t xml:space="preserve">Klassifisering i relasjon til </t>
    </r>
    <r>
      <rPr>
        <b/>
        <sz val="11"/>
        <color theme="1"/>
        <rFont val="Calibri"/>
        <family val="2"/>
        <scheme val="minor"/>
      </rPr>
      <t>A</t>
    </r>
  </si>
  <si>
    <t>Konsolidering</t>
  </si>
  <si>
    <t>Andel til A</t>
  </si>
  <si>
    <t>Kontroller at samlede tall for antall ansatte, omsetning og balansesum som er lagt til grunn i oppstillingen, er under grenseverdiene i forskriften § 1-5 første ledd.</t>
  </si>
  <si>
    <t>KONTROLL HVIS FORETAKET SØKER ETTER REGLENE FOR SMÅ FORETAK</t>
  </si>
  <si>
    <t>Innhent oppdatert aksjeeierbok eller oversikt over deltakere, og kontroller at foretak som i henhold til aksjeeierboken/deltakeroversikten har mer enn 25 prosent av eierandelene eller stemmene er tatt med i oppstillingen</t>
  </si>
  <si>
    <t>EIERE</t>
  </si>
  <si>
    <t>for eiere som er ført opp med eier- eller stemmeandel over 50 prosent er tatt med i oppstillingen med 100 prosent</t>
  </si>
  <si>
    <t>Velg ut to foretak fra oppstillingen og kontroller at antall ansatte, omsetning og balansesum fra siste årsregnskap…</t>
  </si>
  <si>
    <t>for andre eiere er tatt med i oppstillingen med forholdsmessig andel</t>
  </si>
  <si>
    <t>Ta utgangspunkt i oppstillingen over foretakets eller konsernets beregnede underskudd i tilskuddsperioden, jf. forskriften § 4-6 tredje ledd.</t>
  </si>
  <si>
    <t>Kontroller at oppstillingen viser et beregnet underskudd for perioden og at beløpet stemmer med det som er oppgitt i søknaden.</t>
  </si>
  <si>
    <t>Kontroller at varekostnaden tilhører tilskuddsperioden.</t>
  </si>
  <si>
    <t>Kontroller at kostnadsført beholdningsendring samsvarer med periodens fakturering/avregning.</t>
  </si>
  <si>
    <t>Kontroller at avskrivning på varige driftsmidler og immaterielle eiendeler tilhører tilskuddsperioden.</t>
  </si>
  <si>
    <t>Ta et tilfeldig utvalg på 5 bilag som ikke er ført som fast uunngåelig kostnad etter forskriften, og kontroller at kostnaden tilhører tilskuddsperioden.</t>
  </si>
  <si>
    <t>Medlemskontingent til landsdelsskap eller destinasjonsselskap jf. forskriften § 3-2 (14. ledd)</t>
  </si>
  <si>
    <t>Kostnader til myndighetspålagt tilsyn og kontroll jf. forskriften § 3-2 (13. ledd)</t>
  </si>
  <si>
    <r>
      <rPr>
        <b/>
        <sz val="11"/>
        <color theme="1"/>
        <rFont val="Calibri"/>
        <family val="2"/>
        <scheme val="minor"/>
      </rPr>
      <t>Kostnader til myndighetspålagt tilsyn og kontroll</t>
    </r>
    <r>
      <rPr>
        <sz val="11"/>
        <color theme="1"/>
        <rFont val="Calibri"/>
        <family val="2"/>
        <scheme val="minor"/>
      </rPr>
      <t xml:space="preserve"> jf. forskriften § 3-2 (13. ledd)</t>
    </r>
  </si>
  <si>
    <r>
      <rPr>
        <b/>
        <sz val="11"/>
        <color theme="1"/>
        <rFont val="Calibri"/>
        <family val="2"/>
        <scheme val="minor"/>
      </rPr>
      <t>Medlemskontingent til landsdelsskap eller destinasjonsselskap</t>
    </r>
    <r>
      <rPr>
        <sz val="11"/>
        <color theme="1"/>
        <rFont val="Calibri"/>
        <family val="2"/>
        <scheme val="minor"/>
      </rPr>
      <t xml:space="preserve"> jf. forskriften § 3-2 (14. ledd)</t>
    </r>
  </si>
  <si>
    <t>Kontroller at samlet anskaffelseskostnad for tapte varer som er oppgitt i oppstillingen, samsvarer med det som er opplyst i søknaden.</t>
  </si>
  <si>
    <t>Ta et tilfeldig utvalg av 5 varetyper som er oppgitt i oppstillingen, og kontroller mot bokføringsbilagene som det er henvist til at:</t>
  </si>
  <si>
    <t>KONTROLLER AT…</t>
  </si>
  <si>
    <t>FOR MELLOMSTORE OG STORE SELSKAPER</t>
  </si>
  <si>
    <t>Det er avdekket feil. Forholdene må korrigeres og kontrollhandling må utføres på nytt</t>
  </si>
  <si>
    <t>Bekreftelse kan gis (ingen feil er avdekket)</t>
  </si>
  <si>
    <t xml:space="preserve"> Estimert erstatningsbeløp </t>
  </si>
  <si>
    <t xml:space="preserve"> Estimert erstatningsbeløp til utbetaling for tapt varelager i mars og april 2021</t>
  </si>
  <si>
    <t>Firmanavn</t>
  </si>
  <si>
    <t>Org. nummer</t>
  </si>
  <si>
    <t>Omsetning sist godkjente regnskapsår</t>
  </si>
  <si>
    <t xml:space="preserve">Eierstruktur må kartlegges og synliggjøres fordi foretaket som søker om tilskudd skal klassifiseres som enten "Mikro", "Liten", "Mellomstor" eller "Stor". </t>
  </si>
  <si>
    <r>
      <t xml:space="preserve">Det sentrale poenget er at dersom foretaket som søker om kompensasjon er del av en eierstruktur, må det dokumenteres </t>
    </r>
    <r>
      <rPr>
        <b/>
        <i/>
        <sz val="11"/>
        <color theme="1"/>
        <rFont val="Calibri"/>
        <family val="2"/>
        <scheme val="minor"/>
      </rPr>
      <t>OM</t>
    </r>
    <r>
      <rPr>
        <i/>
        <sz val="11"/>
        <color theme="1"/>
        <rFont val="Calibri"/>
        <family val="2"/>
        <scheme val="minor"/>
      </rPr>
      <t xml:space="preserve"> årsverk, omsetning og balansesum i underliggende og / eller overliggende foretak </t>
    </r>
    <r>
      <rPr>
        <b/>
        <i/>
        <sz val="11"/>
        <color theme="1"/>
        <rFont val="Calibri"/>
        <family val="2"/>
        <scheme val="minor"/>
      </rPr>
      <t>skal medregnes i klassifiseringen eller ikke</t>
    </r>
    <r>
      <rPr>
        <i/>
        <sz val="11"/>
        <color theme="1"/>
        <rFont val="Calibri"/>
        <family val="2"/>
        <scheme val="minor"/>
      </rPr>
      <t>.</t>
    </r>
  </si>
  <si>
    <t>NB! følgende begrensninger gjelder!</t>
  </si>
  <si>
    <r>
      <t xml:space="preserve">Skjemaet tar kun høyde for maksimalt </t>
    </r>
    <r>
      <rPr>
        <b/>
        <i/>
        <sz val="11"/>
        <color theme="1"/>
        <rFont val="Calibri"/>
        <family val="2"/>
        <scheme val="minor"/>
      </rPr>
      <t>tre direkte overliggende foretak</t>
    </r>
    <r>
      <rPr>
        <i/>
        <sz val="11"/>
        <color theme="1"/>
        <rFont val="Calibri"/>
        <family val="2"/>
        <scheme val="minor"/>
      </rPr>
      <t xml:space="preserve"> (eiere / investorer), og relasjoner (eierskap) mellom de. Hvis flere enn tre eiere / investorer kan ikke skjemaet benyttes!</t>
    </r>
  </si>
  <si>
    <t>FORETAK A</t>
  </si>
  <si>
    <t>UNDERLIGGENDE FORETAK</t>
  </si>
  <si>
    <t>Skjemaet "Eierstruktur" tar utgangspunkt i foretaket som søker om kompensasjon, og ser på direkte overliggende foretak / investorer (eiere) og eventuelle underliggende foretak (som søkerforetaket har eierandeler / stemmerett i).</t>
  </si>
  <si>
    <t>Hvis foretak A (søker) har eierskap i andre foretak (underliggende) skal det angis hvem dette er. Det skal også angis hvor høy eierandelen er i form av en prosentsats. Eierandelen skal enten angis i økonomisk eierandel eller stemmerett (den høyeste).</t>
  </si>
  <si>
    <t>Skriv inn opplysninger om underliggende foretak, herunder:</t>
  </si>
  <si>
    <t>Eierandel i prosent (den høyeste av økonomisk eierandel og stemmerett)</t>
  </si>
  <si>
    <t>Balansesum sist godkjente regnskapsår</t>
  </si>
  <si>
    <t xml:space="preserve">For foretak A (søker) skal 100 prosent av antall ansatte, omsetning og balansesum telles med i klassifiseringen. </t>
  </si>
  <si>
    <t>Dersom foretak A (søker) eier mindre enn 25 prosent skal ikke underliggende foretak regnes med i klassifiseringen. Dersom foretak A (søker) eier mellom 25 og 50 prosent skal forholdsmessig prosentandel (dvs lik eierandelen) telles med i klassifiseringen.</t>
  </si>
  <si>
    <t>Dersom foretak A (søker) eier mer enn 50 prosent av underliggende foretak skal 100 prosent av omsetning, ansatte og balansesum i underliggende foretak regnes med i klassifiseringen av foretak A (søker).</t>
  </si>
  <si>
    <t>NB! Dersom foretak A (søker ) har flere enn 7 underliggende foretak kan du legge til ekstra rader. Husk å kopiere formlene i tilfelle (opphev arkbeskyttelse først) fra kolonne G til L, slik at totalsummene (i kolonne J til L) blir riktige.</t>
  </si>
  <si>
    <t>OVERLIGGENDE FORETAK</t>
  </si>
  <si>
    <r>
      <t xml:space="preserve">Foretaket som </t>
    </r>
    <r>
      <rPr>
        <b/>
        <sz val="11"/>
        <color theme="1"/>
        <rFont val="Calibri"/>
        <family val="2"/>
        <scheme val="minor"/>
      </rPr>
      <t>søker om kompensasjon</t>
    </r>
    <r>
      <rPr>
        <sz val="11"/>
        <color theme="1"/>
        <rFont val="Calibri"/>
        <family val="2"/>
        <scheme val="minor"/>
      </rPr>
      <t xml:space="preserve"> er klassifisert som "Foretak A". Start med å fylle ut informasjon om dette foretaket, herunder:</t>
    </r>
  </si>
  <si>
    <t>Antall ansatte sist godkjente regnskapsår (bruk gjerne gjennomsnittlig antall ansatte hvis foretaket har rekruttert nye medarbeidere og/eller hatt avganger i løpet av året)</t>
  </si>
  <si>
    <r>
      <t xml:space="preserve">Skjemaet tar kun høyde for </t>
    </r>
    <r>
      <rPr>
        <b/>
        <i/>
        <sz val="11"/>
        <color theme="1"/>
        <rFont val="Calibri"/>
        <family val="2"/>
        <scheme val="minor"/>
      </rPr>
      <t>direkte underliggende foretak</t>
    </r>
    <r>
      <rPr>
        <i/>
        <sz val="11"/>
        <color theme="1"/>
        <rFont val="Calibri"/>
        <family val="2"/>
        <scheme val="minor"/>
      </rPr>
      <t xml:space="preserve">  og </t>
    </r>
    <r>
      <rPr>
        <b/>
        <i/>
        <sz val="11"/>
        <color theme="1"/>
        <rFont val="Calibri"/>
        <family val="2"/>
        <scheme val="minor"/>
      </rPr>
      <t>direkte overliggende foretak</t>
    </r>
    <r>
      <rPr>
        <i/>
        <sz val="11"/>
        <color theme="1"/>
        <rFont val="Calibri"/>
        <family val="2"/>
        <scheme val="minor"/>
      </rPr>
      <t xml:space="preserve"> (eiere / investorer). Altså ett nivå ned og ett nivå opp. Hvis eierstrukturen strekker seg utover ett nivå kan ikke skjemaet benyttes!</t>
    </r>
  </si>
  <si>
    <r>
      <t xml:space="preserve">Skjemaet tar kun høyde for at </t>
    </r>
    <r>
      <rPr>
        <b/>
        <i/>
        <sz val="11"/>
        <color theme="1"/>
        <rFont val="Calibri"/>
        <family val="2"/>
        <scheme val="minor"/>
      </rPr>
      <t>overliggende foretak er private</t>
    </r>
    <r>
      <rPr>
        <i/>
        <sz val="11"/>
        <color theme="1"/>
        <rFont val="Calibri"/>
        <family val="2"/>
        <scheme val="minor"/>
      </rPr>
      <t xml:space="preserve"> (dvs. ikke offentlige foretak da de som hovedregel ikke er berettiget tilskudd, og heller ikke offentlige foretak som er unntakstilfeller (universiteter mv) </t>
    </r>
  </si>
  <si>
    <t xml:space="preserve">Det skal også angis om overliggende foretak har eierskap i hverandre. Dette har betydning for om deres eierandel i A (søker) skal vurderes samlet eller ikke. </t>
  </si>
  <si>
    <t>Vi anbefaler her at du starter med å angi hvem de overliggende foretakene er og deres direkte eierandel i foretak A (søker), altså:</t>
  </si>
  <si>
    <t>For eksempel eier "Foretak F" 45 prosent av "Foretak E", og "Foretak E" eier 75 prosent av "Foretak G", slik:</t>
  </si>
  <si>
    <t>I eksempelet ovenfor eier "Foretak F" mindre enn 50 prosent, det er ikke nok til at "Foretak F" og "Foretak E" skal ses i sammenheng. Derimot eier "Foretak E" 75 prosent av "Foretak G", og deres eierandel i A (søker) skal derfor summeres.</t>
  </si>
  <si>
    <t>"Foretak E" eier 10,0 %  av A (søker), og "Foretak G" eier 15 % av A (søker). I sum har disse nå 25 prosent eierandel i A (søker). De havner nå over terskelverdien på 25 prosent, og klassifiseres derfor som "Partner" overfor A (søker).</t>
  </si>
  <si>
    <t>Da gjelder reglen om at ved 25 til 50 prosent eierskap skal en forholdsmessig prosentandel (dvs. lik eierandelen) telles med i klassifiseringen av A (søker). Det vil si at 25 prosent av omsetning, ansatte og balansesum i "Foretak G" og "Foretak E" telles med i klassifiseringen av A (søker)</t>
  </si>
  <si>
    <t>Dersom "Foretak G" og "Foretak E" i sum hadde eid mer enn 50 prosent av A, skulle 100 prosent av omsetning, antall ansatte og balansesum i G og E telles med i klassifiseringen av A.</t>
  </si>
  <si>
    <t xml:space="preserve">Det er altså symmetri i reglene for overliggende og underliggende foretak, bare at vi må ta høyde for eventuelt eierskap mellom overliggende selskap i tilfelle noen av de skal vurderes samlet. </t>
  </si>
  <si>
    <t>Skjemaet foretar denne klassifiseringen for deg, så du trenger bare å fylle ut eierandelene. Skriv deretter inn:</t>
  </si>
  <si>
    <t>Omsetning sist godkjente regnskapsår i kolonne O</t>
  </si>
  <si>
    <t>Antall ansatte sist godkjente regnskapsår i kolonne P (bruk gjerne gjennomsnitt hvis ansettelse og/eller avgang)</t>
  </si>
  <si>
    <r>
      <t xml:space="preserve">Først vurderes hver av foretakene sin eierandel i A (søker) isolert, men poenget her er at dersom ett eller flere av eierforetakene er </t>
    </r>
    <r>
      <rPr>
        <b/>
        <sz val="11"/>
        <color theme="1"/>
        <rFont val="Calibri"/>
        <family val="2"/>
        <scheme val="minor"/>
      </rPr>
      <t>majoritetseier</t>
    </r>
    <r>
      <rPr>
        <sz val="11"/>
        <color theme="1"/>
        <rFont val="Calibri"/>
        <family val="2"/>
        <scheme val="minor"/>
      </rPr>
      <t xml:space="preserve"> i en eller flere av de andre eierforetakene (&gt;50%) skal deres </t>
    </r>
    <r>
      <rPr>
        <b/>
        <sz val="11"/>
        <color theme="1"/>
        <rFont val="Calibri"/>
        <family val="2"/>
        <scheme val="minor"/>
      </rPr>
      <t>andeler i A (søker) summeres.</t>
    </r>
  </si>
  <si>
    <t>SUM GRUNNLAG FOR KLASSIFISERING</t>
  </si>
  <si>
    <t>Du vil se resultatet av hvor stor andel av omsetning, antall ansatte og balansesum i seksjonen "Sum grunnlag for klassifisering som SMB".</t>
  </si>
  <si>
    <t xml:space="preserve">Denne henter 100 prosent av omsetning, ansatte og balansesum i A (søker), og legger til de riktige andelene i underliggende og overliggende foretak. </t>
  </si>
  <si>
    <t>Summen av A, samt underliggende og overliggende foretak, utgjør grunnlaget for klassifisering som enten "Mikro","Liten","Mellomstor" eller "Stor", f. eks slik:</t>
  </si>
  <si>
    <t>Forklaring på skjemaet "Eierstruktur"</t>
  </si>
  <si>
    <r>
      <t xml:space="preserve">Om omsetning, ansatte og balansesum i </t>
    </r>
    <r>
      <rPr>
        <b/>
        <i/>
        <sz val="11"/>
        <color theme="1"/>
        <rFont val="Calibri"/>
        <family val="2"/>
        <scheme val="minor"/>
      </rPr>
      <t>underliggende foretak</t>
    </r>
    <r>
      <rPr>
        <i/>
        <sz val="11"/>
        <color theme="1"/>
        <rFont val="Calibri"/>
        <family val="2"/>
        <scheme val="minor"/>
      </rPr>
      <t xml:space="preserve"> skal medregnes eller ikke er avhengig av </t>
    </r>
    <r>
      <rPr>
        <b/>
        <i/>
        <sz val="11"/>
        <color theme="1"/>
        <rFont val="Calibri"/>
        <family val="2"/>
        <scheme val="minor"/>
      </rPr>
      <t>eierandelen til foretaket som søker om kompensasjon</t>
    </r>
    <r>
      <rPr>
        <i/>
        <sz val="11"/>
        <color theme="1"/>
        <rFont val="Calibri"/>
        <family val="2"/>
        <scheme val="minor"/>
      </rPr>
      <t>.</t>
    </r>
  </si>
  <si>
    <r>
      <t xml:space="preserve">Om omsetning, ansatte og balansesum i </t>
    </r>
    <r>
      <rPr>
        <b/>
        <i/>
        <sz val="11"/>
        <color theme="1"/>
        <rFont val="Calibri"/>
        <family val="2"/>
        <scheme val="minor"/>
      </rPr>
      <t>overliggende foretak</t>
    </r>
    <r>
      <rPr>
        <i/>
        <sz val="11"/>
        <color theme="1"/>
        <rFont val="Calibri"/>
        <family val="2"/>
        <scheme val="minor"/>
      </rPr>
      <t xml:space="preserve"> (eiere / investorer) skal medregnes eller ikke er avhengig av hvor </t>
    </r>
    <r>
      <rPr>
        <b/>
        <i/>
        <sz val="11"/>
        <color theme="1"/>
        <rFont val="Calibri"/>
        <family val="2"/>
        <scheme val="minor"/>
      </rPr>
      <t>høye eierandeler</t>
    </r>
    <r>
      <rPr>
        <i/>
        <sz val="11"/>
        <color theme="1"/>
        <rFont val="Calibri"/>
        <family val="2"/>
        <scheme val="minor"/>
      </rPr>
      <t xml:space="preserve"> de har i foretaket som søker om kompensasjon, og </t>
    </r>
    <r>
      <rPr>
        <b/>
        <i/>
        <sz val="11"/>
        <color theme="1"/>
        <rFont val="Calibri"/>
        <family val="2"/>
        <scheme val="minor"/>
      </rPr>
      <t>OM de har relasjoner (eierskap) til hverandre</t>
    </r>
    <r>
      <rPr>
        <i/>
        <sz val="11"/>
        <color theme="1"/>
        <rFont val="Calibri"/>
        <family val="2"/>
        <scheme val="minor"/>
      </rPr>
      <t xml:space="preserve"> (horisontalt). </t>
    </r>
  </si>
  <si>
    <t>Eierandel i A i prosent (den høyeste av økonomisk eierandel og stemmerett)</t>
  </si>
  <si>
    <t>8. Utmåling av tilskuddet inkl. varelager</t>
  </si>
  <si>
    <t xml:space="preserve"> Forventet tilskudd inkl. varelager til utbetaling</t>
  </si>
  <si>
    <t>5. Kompensasjon for tapt varelager i tilskuddsperioden mars og april 2021</t>
  </si>
  <si>
    <t>9. Honorar til regnskapsfører eller revisor</t>
  </si>
  <si>
    <t>7. Kontroll mot ordinært resultat før skatt (ORFS) i 2019 eller 2020</t>
  </si>
  <si>
    <t>Inflasjon</t>
  </si>
  <si>
    <t>Januar 2020</t>
  </si>
  <si>
    <t>Februar 2020</t>
  </si>
  <si>
    <t xml:space="preserve"> Inflasjonsjustert omsetning i sammenligningsperioden</t>
  </si>
  <si>
    <t>Omsetning i mars 2019</t>
  </si>
  <si>
    <t>Omsetning i april 2019</t>
  </si>
  <si>
    <t>Omsetning i mai 2019</t>
  </si>
  <si>
    <t>Omsetning i juni 2019</t>
  </si>
  <si>
    <t>Sammenligningsperiode (mars og april 2019)</t>
  </si>
  <si>
    <t>Sammenligningsperiode (mai og juni 2019)</t>
  </si>
  <si>
    <t>Justeringssats for inflasjon (KPI)</t>
  </si>
  <si>
    <t xml:space="preserve"> Justeringssats for inflasjon (KPI)</t>
  </si>
  <si>
    <t xml:space="preserve"> Beregnet normalomsetning i søknadsperioden (inflasjonsjustert)</t>
  </si>
  <si>
    <t>8. Utmåling av tilskuddet inkl. evt. varelager</t>
  </si>
  <si>
    <t xml:space="preserve"> Forventet tilskudd inkl. evt. varelager til utbetaling</t>
  </si>
  <si>
    <t>Netto tilskudd og evt. erstatning for varelager, inklusive kostnader til bekreftelse</t>
  </si>
  <si>
    <t>Kom gjerne med en skriftlig redegjørelse for tapet her….</t>
  </si>
  <si>
    <t>Antall ansatte sist godkjente regnskapsår (bruk gjerne gjennomsnitt hvis ansettelse og/eller avgang i løpet av året)</t>
  </si>
  <si>
    <t xml:space="preserve">Det ligger formler i skjemaet som sjekker hvilke foretak som eventuelt skal medregnes, og med hvilke andeler. Du trenger bare å fylle inn opplysningene. </t>
  </si>
  <si>
    <t>Hvis foretak A (søker) eies av andre foretak (overliggende) skal det angis hvem dette er. Det skal også angis hvor høye eierandeler de har i form av en prosentsats. Eierandelen skal enten angis i økonomisk eierandel eller stemmerett (den høyeste).</t>
  </si>
  <si>
    <t xml:space="preserve">Dernest skal du angi om de overliggende foretakene har eierandeler i hverandre. Om de ikke har det trenger du ikke fylle ut matrisen. Hvis de har eierandeler i hverandre bruk matrisen og fyll inn eierandel i prosent (den høyeste av økonomisk eierandel og stemmerett). </t>
  </si>
  <si>
    <t>EIERANDELER</t>
  </si>
  <si>
    <t>Kontroller at foretak hvor søker har mer enn 25 prosent av eierandelene eller stemmene er tatt med i oppstillingen.</t>
  </si>
  <si>
    <t>Kontroller at det foreligger en oppstilling etter forskriften § 4-6 (5) som viser hvilke foretak som inngår i beregningen av at foretaket oppfyller kriteriene for små foretak etter forskriften § 1-5, samt sist godkjente årsregnskap til disse foretakene. F. eks som i arkfanen "Eierstruktur" i dette dokumentet.</t>
  </si>
  <si>
    <t>BEREGNET UNDERSKUDD I TILSKUDDSPERIODEN</t>
  </si>
  <si>
    <t>Kontroller at lønn og andre personalkostnader tilhører tilskuddsperioden.</t>
  </si>
  <si>
    <t>Kontroller foretakets dokumentasjon på at skattemelding for merverdiavgift med leveringsfrist innen utløpet av tilskuddsperioden er levert. jf. forskriften § 2-6 første ledd bokstav b.</t>
  </si>
  <si>
    <t>Kontroller foretakets dokumentasjon på at de ikke har restanser relatert til krav som var forfalt før 29. februar 2020. jf. forskriften § 2-6 første ledd bokstav a.</t>
  </si>
  <si>
    <t>Kontroller rapport omsetning i søknaden mot bokført omsetning, og at eventuelle avvik er forklart og dokumentert.</t>
  </si>
  <si>
    <t>Vare</t>
  </si>
  <si>
    <t>Antall / mengde</t>
  </si>
  <si>
    <t>Anskaffelseskost</t>
  </si>
  <si>
    <t>Dokumentasjon av anskaffelseskost</t>
  </si>
  <si>
    <t>Beløp</t>
  </si>
  <si>
    <t>Øl</t>
  </si>
  <si>
    <t>B. 357/21</t>
  </si>
  <si>
    <t>Indrefilet</t>
  </si>
  <si>
    <t>B. 412/21</t>
  </si>
  <si>
    <t>Osv........</t>
  </si>
  <si>
    <t>Sum</t>
  </si>
  <si>
    <t>Spesifikasjon av varelager</t>
  </si>
  <si>
    <t>Legg til rader etter behov</t>
  </si>
  <si>
    <t>Myndighetspålagt tilsyn og kontroll - spesifikasjon</t>
  </si>
  <si>
    <t>Medlemskontingent - spesifikasjon</t>
  </si>
  <si>
    <t>Øvre grense iht kontroll mot omsetningsreduksjon målt i kroner</t>
  </si>
  <si>
    <t>Øvre grense iht kontroll mot driftsresultat målt i kroner</t>
  </si>
  <si>
    <t>Øvre grense iht kontroll mot underskudd vs tapt varelager</t>
  </si>
  <si>
    <t>Øvre grense iht kontroll mot maksimumbeløp</t>
  </si>
  <si>
    <t xml:space="preserve"> Estimert tilskudd</t>
  </si>
  <si>
    <t>Juli og august 2021</t>
  </si>
  <si>
    <t>Sammenligningsperiode (juli og august 2019)</t>
  </si>
  <si>
    <t>Omsetning i juli 2019</t>
  </si>
  <si>
    <t>Omsetning i august 2019</t>
  </si>
  <si>
    <t>September og oktober 2021</t>
  </si>
  <si>
    <t>Sammenligningsperiode (september og oktober 2019)</t>
  </si>
  <si>
    <t>Omsetning i september 2019</t>
  </si>
  <si>
    <t>Omsetning i oktober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</si>
</sst>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
    <numFmt numFmtId="166"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b/>
      <i/>
      <sz val="16"/>
      <color theme="1"/>
      <name val="Calibri"/>
      <family val="2"/>
      <scheme val="minor"/>
    </font>
    <font>
      <b/>
      <i/>
      <sz val="14"/>
      <color theme="1"/>
      <name val="Calibri"/>
      <family val="2"/>
      <scheme val="minor"/>
    </font>
    <font>
      <b/>
      <i/>
      <sz val="18"/>
      <color theme="1"/>
      <name val="Calibri"/>
      <family val="2"/>
      <scheme val="minor"/>
    </font>
    <font>
      <u/>
      <sz val="11"/>
      <color theme="10"/>
      <name val="Calibri"/>
      <family val="2"/>
      <scheme val="minor"/>
    </font>
    <font>
      <i/>
      <u/>
      <sz val="11"/>
      <color theme="10"/>
      <name val="Calibri"/>
      <family val="2"/>
      <scheme val="minor"/>
    </font>
    <font>
      <b/>
      <sz val="12"/>
      <color theme="0"/>
      <name val="Calibri"/>
      <family val="2"/>
      <scheme val="minor"/>
    </font>
    <font>
      <sz val="8"/>
      <name val="Calibri"/>
      <family val="2"/>
      <scheme val="minor"/>
    </font>
    <font>
      <b/>
      <i/>
      <sz val="11"/>
      <color rgb="FFFF0000"/>
      <name val="Calibri"/>
      <family val="2"/>
      <scheme val="minor"/>
    </font>
    <font>
      <b/>
      <sz val="12"/>
      <color theme="1"/>
      <name val="Calibri"/>
      <family val="2"/>
      <scheme val="minor"/>
    </font>
    <font>
      <sz val="11"/>
      <color rgb="FFFF0000"/>
      <name val="Calibri"/>
      <family val="2"/>
      <scheme val="minor"/>
    </font>
    <font>
      <i/>
      <sz val="11"/>
      <color theme="0" tint="-0.499984740745262"/>
      <name val="Calibri"/>
      <family val="2"/>
      <scheme val="minor"/>
    </font>
    <font>
      <sz val="11"/>
      <color theme="0" tint="-0.499984740745262"/>
      <name val="Calibri"/>
      <family val="2"/>
      <scheme val="minor"/>
    </font>
    <font>
      <i/>
      <sz val="11"/>
      <color rgb="FFFF0000"/>
      <name val="Calibri"/>
      <family val="2"/>
      <scheme val="minor"/>
    </font>
    <font>
      <i/>
      <u/>
      <sz val="11"/>
      <name val="Calibri"/>
      <family val="2"/>
      <scheme val="minor"/>
    </font>
    <font>
      <i/>
      <sz val="11"/>
      <name val="Calibri"/>
      <family val="2"/>
      <scheme val="minor"/>
    </font>
    <font>
      <i/>
      <sz val="12"/>
      <color theme="1"/>
      <name val="Calibri"/>
      <family val="2"/>
      <scheme val="minor"/>
    </font>
    <font>
      <i/>
      <sz val="14"/>
      <color theme="1"/>
      <name val="Calibri"/>
      <family val="2"/>
      <scheme val="minor"/>
    </font>
    <font>
      <b/>
      <i/>
      <u/>
      <sz val="16"/>
      <name val="Calibri"/>
      <family val="2"/>
      <scheme val="minor"/>
    </font>
    <font>
      <sz val="12"/>
      <color theme="1"/>
      <name val="Calibri"/>
      <family val="2"/>
      <scheme val="minor"/>
    </font>
    <font>
      <sz val="11"/>
      <name val="Calibri"/>
      <family val="2"/>
      <scheme val="minor"/>
    </font>
    <font>
      <i/>
      <sz val="14"/>
      <color rgb="FFFF0000"/>
      <name val="Calibri"/>
      <family val="2"/>
      <scheme val="minor"/>
    </font>
    <font>
      <sz val="11"/>
      <color theme="4"/>
      <name val="Calibri"/>
      <family val="2"/>
      <scheme val="minor"/>
    </font>
    <font>
      <sz val="11"/>
      <color theme="5"/>
      <name val="Calibri"/>
      <family val="2"/>
      <scheme val="minor"/>
    </font>
    <font>
      <sz val="11"/>
      <color theme="9"/>
      <name val="Calibri"/>
      <family val="2"/>
      <scheme val="minor"/>
    </font>
    <font>
      <b/>
      <sz val="14"/>
      <color theme="1"/>
      <name val="Calibri"/>
      <family val="2"/>
      <scheme val="minor"/>
    </font>
    <font>
      <b/>
      <sz val="12"/>
      <name val="Calibri"/>
      <family val="2"/>
      <scheme val="minor"/>
    </font>
    <font>
      <b/>
      <i/>
      <sz val="11"/>
      <name val="Calibri"/>
      <family val="2"/>
      <scheme val="minor"/>
    </font>
    <font>
      <b/>
      <i/>
      <sz val="16"/>
      <name val="Calibri"/>
      <family val="2"/>
      <scheme val="minor"/>
    </font>
    <font>
      <b/>
      <i/>
      <sz val="11"/>
      <color rgb="FFC00000"/>
      <name val="Calibri"/>
      <family val="2"/>
      <scheme val="minor"/>
    </font>
    <font>
      <b/>
      <sz val="16"/>
      <color theme="1"/>
      <name val="Calibri"/>
      <family val="2"/>
      <scheme val="minor"/>
    </font>
    <font>
      <b/>
      <sz val="11"/>
      <color theme="4"/>
      <name val="Calibri"/>
      <family val="2"/>
      <scheme val="minor"/>
    </font>
    <font>
      <b/>
      <sz val="11"/>
      <color theme="9"/>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499984740745262"/>
        <bgColor indexed="64"/>
      </patternFill>
    </fill>
    <fill>
      <patternFill patternType="lightGray">
        <bgColor theme="0" tint="-4.9989318521683403E-2"/>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34998626667073579"/>
      </left>
      <right/>
      <top/>
      <bottom/>
      <diagonal/>
    </border>
    <border>
      <left style="thin">
        <color indexed="64"/>
      </left>
      <right/>
      <top/>
      <bottom/>
      <diagonal/>
    </border>
    <border>
      <left style="thin">
        <color theme="0" tint="-0.34998626667073579"/>
      </left>
      <right/>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style="thin">
        <color indexed="64"/>
      </right>
      <top style="thin">
        <color indexed="64"/>
      </top>
      <bottom/>
      <diagonal/>
    </border>
    <border>
      <left style="thin">
        <color indexed="64"/>
      </left>
      <right style="medium">
        <color indexed="64"/>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34998626667073579"/>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right/>
      <top style="dotted">
        <color indexed="64"/>
      </top>
      <bottom style="medium">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504">
    <xf numFmtId="0" fontId="0" fillId="0" borderId="0" xfId="0"/>
    <xf numFmtId="0" fontId="0" fillId="3" borderId="0" xfId="0" applyFill="1"/>
    <xf numFmtId="0" fontId="3" fillId="3" borderId="0" xfId="0" applyFont="1" applyFill="1" applyAlignment="1">
      <alignment horizontal="center"/>
    </xf>
    <xf numFmtId="0" fontId="0" fillId="3" borderId="0" xfId="0" applyFill="1" applyAlignment="1">
      <alignment horizontal="center"/>
    </xf>
    <xf numFmtId="0" fontId="0" fillId="3" borderId="1" xfId="0" applyFill="1" applyBorder="1"/>
    <xf numFmtId="0" fontId="0" fillId="3" borderId="1" xfId="0" applyFill="1" applyBorder="1" applyAlignment="1">
      <alignment horizontal="center"/>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xf numFmtId="0" fontId="5" fillId="3" borderId="0" xfId="0" applyFont="1" applyFill="1"/>
    <xf numFmtId="3" fontId="0" fillId="2" borderId="2" xfId="0" applyNumberFormat="1" applyFill="1" applyBorder="1" applyAlignment="1">
      <alignment horizontal="center" vertical="center"/>
    </xf>
    <xf numFmtId="0" fontId="4" fillId="3" borderId="0" xfId="0" applyFont="1" applyFill="1" applyAlignment="1">
      <alignment vertical="center" wrapText="1"/>
    </xf>
    <xf numFmtId="0" fontId="0" fillId="3" borderId="0" xfId="0" applyFill="1" applyBorder="1"/>
    <xf numFmtId="0" fontId="0" fillId="3" borderId="0" xfId="0" applyFill="1" applyBorder="1" applyAlignment="1">
      <alignment horizontal="center"/>
    </xf>
    <xf numFmtId="0" fontId="7" fillId="3" borderId="0" xfId="0" applyFont="1" applyFill="1"/>
    <xf numFmtId="3" fontId="2" fillId="3" borderId="0" xfId="0" applyNumberFormat="1" applyFont="1" applyFill="1" applyAlignment="1">
      <alignment horizontal="center"/>
    </xf>
    <xf numFmtId="0" fontId="6" fillId="3" borderId="0" xfId="0" applyFont="1" applyFill="1"/>
    <xf numFmtId="0" fontId="0" fillId="3" borderId="0" xfId="0" applyFill="1" applyAlignment="1">
      <alignment horizontal="left"/>
    </xf>
    <xf numFmtId="0" fontId="0" fillId="3" borderId="0" xfId="0" applyFill="1" applyAlignment="1">
      <alignment horizontal="center" wrapText="1"/>
    </xf>
    <xf numFmtId="0" fontId="0" fillId="3" borderId="0" xfId="0" applyFill="1" applyAlignment="1">
      <alignment wrapText="1"/>
    </xf>
    <xf numFmtId="0" fontId="8" fillId="3" borderId="0" xfId="0" applyFont="1" applyFill="1"/>
    <xf numFmtId="0" fontId="9" fillId="3" borderId="0" xfId="0" applyFont="1" applyFill="1"/>
    <xf numFmtId="0" fontId="4" fillId="3" borderId="5" xfId="0" applyFont="1" applyFill="1" applyBorder="1" applyAlignment="1">
      <alignment vertical="center"/>
    </xf>
    <xf numFmtId="0" fontId="4" fillId="3" borderId="0" xfId="0" applyFont="1" applyFill="1" applyAlignment="1">
      <alignment horizontal="left"/>
    </xf>
    <xf numFmtId="0" fontId="0" fillId="3" borderId="0" xfId="0" applyFill="1" applyAlignment="1">
      <alignment horizontal="center" vertical="center"/>
    </xf>
    <xf numFmtId="0" fontId="0" fillId="3" borderId="0" xfId="0" applyFill="1" applyAlignment="1"/>
    <xf numFmtId="3" fontId="0" fillId="3" borderId="0" xfId="0" applyNumberFormat="1" applyFill="1" applyAlignment="1">
      <alignment horizontal="center"/>
    </xf>
    <xf numFmtId="0" fontId="0" fillId="3" borderId="0" xfId="0" applyFill="1" applyAlignment="1">
      <alignment vertical="center"/>
    </xf>
    <xf numFmtId="3" fontId="0" fillId="3" borderId="0" xfId="0" applyNumberFormat="1" applyFill="1" applyAlignment="1">
      <alignment horizontal="center" vertical="center"/>
    </xf>
    <xf numFmtId="0" fontId="6" fillId="3" borderId="0" xfId="0" applyFont="1" applyFill="1" applyBorder="1" applyAlignment="1">
      <alignment vertical="center"/>
    </xf>
    <xf numFmtId="3" fontId="3" fillId="3" borderId="0" xfId="0" applyNumberFormat="1" applyFont="1" applyFill="1" applyBorder="1" applyAlignment="1">
      <alignment horizontal="center" vertical="center"/>
    </xf>
    <xf numFmtId="0" fontId="11" fillId="3" borderId="0" xfId="2" applyFont="1" applyFill="1"/>
    <xf numFmtId="0" fontId="11" fillId="3" borderId="0" xfId="2" applyFont="1" applyFill="1" applyAlignment="1">
      <alignment vertical="center"/>
    </xf>
    <xf numFmtId="0" fontId="4" fillId="3" borderId="0" xfId="0" applyFont="1" applyFill="1" applyAlignment="1">
      <alignment horizontal="left" vertical="center" wrapText="1"/>
    </xf>
    <xf numFmtId="3" fontId="0" fillId="3" borderId="0" xfId="0" applyNumberFormat="1" applyFont="1" applyFill="1" applyBorder="1" applyAlignment="1">
      <alignment horizontal="center" vertical="center"/>
    </xf>
    <xf numFmtId="0" fontId="12" fillId="3" borderId="0" xfId="0" applyFont="1" applyFill="1" applyAlignment="1">
      <alignment vertical="center" wrapText="1"/>
    </xf>
    <xf numFmtId="0" fontId="4" fillId="3" borderId="0" xfId="0" applyFont="1" applyFill="1" applyBorder="1" applyAlignment="1">
      <alignment horizontal="left" vertical="center" wrapText="1"/>
    </xf>
    <xf numFmtId="3" fontId="0" fillId="3" borderId="0" xfId="0" applyNumberFormat="1" applyFill="1" applyBorder="1" applyAlignment="1">
      <alignment horizontal="center" vertical="center"/>
    </xf>
    <xf numFmtId="1" fontId="0" fillId="3" borderId="0" xfId="0" applyNumberFormat="1" applyFill="1" applyAlignment="1">
      <alignment horizontal="center"/>
    </xf>
    <xf numFmtId="0" fontId="0" fillId="3" borderId="0" xfId="0" applyFill="1" applyAlignment="1">
      <alignment horizontal="left" vertical="center"/>
    </xf>
    <xf numFmtId="3" fontId="0" fillId="3" borderId="0" xfId="0" applyNumberFormat="1" applyFill="1" applyAlignment="1">
      <alignment vertical="center"/>
    </xf>
    <xf numFmtId="164" fontId="0" fillId="3" borderId="0" xfId="0" applyNumberFormat="1" applyFill="1" applyAlignment="1">
      <alignment horizontal="center" vertical="center"/>
    </xf>
    <xf numFmtId="3" fontId="0" fillId="3" borderId="0" xfId="0" applyNumberFormat="1" applyFill="1" applyBorder="1" applyAlignment="1">
      <alignment horizontal="left" vertical="center" wrapText="1"/>
    </xf>
    <xf numFmtId="3" fontId="14" fillId="3" borderId="0" xfId="0" applyNumberFormat="1" applyFont="1" applyFill="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0" fillId="3" borderId="0" xfId="0" applyFill="1" applyBorder="1" applyAlignment="1"/>
    <xf numFmtId="0" fontId="3" fillId="3" borderId="0" xfId="0" applyFont="1" applyFill="1"/>
    <xf numFmtId="0" fontId="6" fillId="3" borderId="1" xfId="0" applyFont="1" applyFill="1" applyBorder="1" applyAlignment="1">
      <alignment vertical="center"/>
    </xf>
    <xf numFmtId="3" fontId="3" fillId="3" borderId="1" xfId="0" applyNumberFormat="1" applyFont="1" applyFill="1" applyBorder="1" applyAlignment="1">
      <alignment horizontal="center" vertical="center"/>
    </xf>
    <xf numFmtId="10" fontId="1" fillId="3" borderId="1" xfId="1" applyNumberFormat="1" applyFont="1" applyFill="1" applyBorder="1" applyAlignment="1">
      <alignment horizontal="center" vertical="center"/>
    </xf>
    <xf numFmtId="0" fontId="4" fillId="3" borderId="1" xfId="0" applyFont="1" applyFill="1" applyBorder="1" applyAlignment="1">
      <alignment vertical="center"/>
    </xf>
    <xf numFmtId="0" fontId="16" fillId="3" borderId="0" xfId="0" applyFont="1" applyFill="1" applyAlignment="1">
      <alignment horizontal="center" vertical="center"/>
    </xf>
    <xf numFmtId="0" fontId="14" fillId="3" borderId="0" xfId="0" applyFont="1" applyFill="1" applyAlignment="1">
      <alignment horizontal="center" vertical="center"/>
    </xf>
    <xf numFmtId="0" fontId="3" fillId="3" borderId="1" xfId="0" applyFont="1" applyFill="1" applyBorder="1" applyAlignment="1">
      <alignment vertical="center"/>
    </xf>
    <xf numFmtId="3" fontId="14" fillId="3" borderId="0" xfId="0" applyNumberFormat="1" applyFont="1" applyFill="1" applyBorder="1" applyAlignment="1">
      <alignment horizontal="center" vertical="center" wrapText="1"/>
    </xf>
    <xf numFmtId="0" fontId="0" fillId="3" borderId="1" xfId="0" applyFill="1" applyBorder="1" applyAlignment="1">
      <alignment vertical="center"/>
    </xf>
    <xf numFmtId="0" fontId="6" fillId="3" borderId="0" xfId="0" applyFont="1" applyFill="1" applyAlignment="1"/>
    <xf numFmtId="0" fontId="6" fillId="3" borderId="0" xfId="0" applyFont="1"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vertical="center" wrapText="1"/>
    </xf>
    <xf numFmtId="0" fontId="6" fillId="3" borderId="1" xfId="0" applyFont="1" applyFill="1" applyBorder="1" applyAlignment="1">
      <alignment horizontal="left" vertical="center" wrapText="1"/>
    </xf>
    <xf numFmtId="0" fontId="17" fillId="3" borderId="0" xfId="0" applyFont="1" applyFill="1" applyAlignment="1">
      <alignment vertical="center" wrapText="1"/>
    </xf>
    <xf numFmtId="0" fontId="17" fillId="3" borderId="0" xfId="0" applyFont="1" applyFill="1" applyAlignment="1">
      <alignment vertical="center"/>
    </xf>
    <xf numFmtId="0" fontId="0" fillId="3" borderId="0" xfId="0" applyFill="1" applyAlignment="1">
      <alignment vertical="center" wrapText="1"/>
    </xf>
    <xf numFmtId="0" fontId="19" fillId="3" borderId="0" xfId="0" applyFont="1" applyFill="1" applyAlignment="1">
      <alignment vertical="center"/>
    </xf>
    <xf numFmtId="0" fontId="0" fillId="4" borderId="2" xfId="0" applyFill="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3" fontId="0" fillId="2" borderId="2" xfId="0" applyNumberFormat="1" applyFill="1" applyBorder="1" applyAlignment="1" applyProtection="1">
      <alignment horizontal="left" vertical="center" wrapText="1"/>
      <protection locked="0"/>
    </xf>
    <xf numFmtId="3" fontId="0" fillId="2" borderId="2" xfId="0" applyNumberFormat="1" applyFill="1" applyBorder="1" applyAlignment="1" applyProtection="1">
      <alignment horizontal="center" vertical="center"/>
      <protection locked="0"/>
    </xf>
    <xf numFmtId="3" fontId="0" fillId="3" borderId="0" xfId="0" applyNumberFormat="1" applyFill="1" applyAlignment="1" applyProtection="1">
      <alignment horizontal="center" vertical="center"/>
      <protection locked="0"/>
    </xf>
    <xf numFmtId="3" fontId="18" fillId="3" borderId="2" xfId="0" applyNumberFormat="1" applyFont="1" applyFill="1" applyBorder="1" applyAlignment="1" applyProtection="1">
      <alignment horizontal="center" vertical="center"/>
      <protection locked="0"/>
    </xf>
    <xf numFmtId="3" fontId="18" fillId="3" borderId="2" xfId="0" applyNumberFormat="1" applyFont="1" applyFill="1" applyBorder="1" applyAlignment="1" applyProtection="1">
      <alignment horizontal="left" vertical="center" wrapText="1"/>
      <protection locked="0"/>
    </xf>
    <xf numFmtId="3" fontId="0" fillId="4"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wrapText="1"/>
      <protection locked="0"/>
    </xf>
    <xf numFmtId="0" fontId="20" fillId="3" borderId="0" xfId="2" applyFont="1" applyFill="1" applyAlignment="1">
      <alignment vertical="center"/>
    </xf>
    <xf numFmtId="0" fontId="21" fillId="3" borderId="0" xfId="2" applyFont="1" applyFill="1" applyAlignment="1">
      <alignment vertical="center"/>
    </xf>
    <xf numFmtId="0" fontId="20" fillId="3" borderId="0" xfId="0" applyFont="1" applyFill="1" applyAlignment="1">
      <alignment vertical="center"/>
    </xf>
    <xf numFmtId="0" fontId="22" fillId="3" borderId="0" xfId="0" applyFont="1" applyFill="1" applyBorder="1" applyAlignment="1">
      <alignment horizontal="left" vertical="center"/>
    </xf>
    <xf numFmtId="0" fontId="23" fillId="3" borderId="0" xfId="0" applyFont="1" applyFill="1" applyBorder="1" applyAlignment="1">
      <alignment horizontal="left" vertical="center"/>
    </xf>
    <xf numFmtId="0" fontId="24" fillId="3" borderId="0" xfId="2" applyFont="1" applyFill="1"/>
    <xf numFmtId="0" fontId="22" fillId="3" borderId="0" xfId="0" applyFont="1" applyFill="1" applyBorder="1" applyAlignment="1">
      <alignment vertical="center"/>
    </xf>
    <xf numFmtId="3" fontId="25" fillId="3" borderId="0" xfId="0" applyNumberFormat="1" applyFont="1" applyFill="1" applyBorder="1" applyAlignment="1">
      <alignment horizontal="center" vertical="center"/>
    </xf>
    <xf numFmtId="0" fontId="22" fillId="3" borderId="0" xfId="0" applyFont="1" applyFill="1" applyBorder="1" applyAlignment="1">
      <alignment horizontal="left" vertical="center" wrapText="1"/>
    </xf>
    <xf numFmtId="3" fontId="0" fillId="3" borderId="0" xfId="0" applyNumberFormat="1" applyFill="1" applyBorder="1" applyAlignment="1" applyProtection="1">
      <alignment horizontal="center" vertical="center"/>
      <protection locked="0"/>
    </xf>
    <xf numFmtId="0" fontId="5" fillId="3" borderId="16" xfId="0" applyFont="1" applyFill="1" applyBorder="1" applyAlignment="1">
      <alignment vertical="center"/>
    </xf>
    <xf numFmtId="3" fontId="0" fillId="3" borderId="0" xfId="0" applyNumberFormat="1" applyFill="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19" fillId="3" borderId="0" xfId="0" applyFont="1" applyFill="1" applyAlignment="1"/>
    <xf numFmtId="0" fontId="4" fillId="3" borderId="0" xfId="0" applyFont="1" applyFill="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center"/>
    </xf>
    <xf numFmtId="0" fontId="4" fillId="3" borderId="0" xfId="0" applyFont="1" applyFill="1" applyAlignment="1">
      <alignment horizontal="left" vertical="center" wrapText="1"/>
    </xf>
    <xf numFmtId="0" fontId="4" fillId="3" borderId="0" xfId="0" applyFont="1" applyFill="1" applyBorder="1" applyAlignment="1">
      <alignment horizontal="left" vertical="center" wrapText="1"/>
    </xf>
    <xf numFmtId="0" fontId="0" fillId="0" borderId="0" xfId="0" applyAlignment="1">
      <alignment horizontal="center"/>
    </xf>
    <xf numFmtId="0" fontId="0" fillId="0" borderId="18" xfId="0" applyBorder="1"/>
    <xf numFmtId="0" fontId="4" fillId="0" borderId="19" xfId="0" applyFont="1" applyBorder="1"/>
    <xf numFmtId="0" fontId="0" fillId="0" borderId="19" xfId="0" applyBorder="1" applyAlignment="1">
      <alignment horizontal="center"/>
    </xf>
    <xf numFmtId="0" fontId="0" fillId="0" borderId="19" xfId="0" applyBorder="1"/>
    <xf numFmtId="0" fontId="0" fillId="0" borderId="20" xfId="0" applyBorder="1"/>
    <xf numFmtId="0" fontId="0" fillId="0" borderId="21" xfId="0" applyBorder="1"/>
    <xf numFmtId="0" fontId="15" fillId="0" borderId="0" xfId="0" applyFont="1"/>
    <xf numFmtId="0" fontId="0" fillId="0" borderId="22" xfId="0" applyBorder="1"/>
    <xf numFmtId="0" fontId="0" fillId="0" borderId="21"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8" fillId="2" borderId="25"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0" fillId="0" borderId="22" xfId="0" applyBorder="1" applyAlignment="1">
      <alignment vertical="center"/>
    </xf>
    <xf numFmtId="0" fontId="0" fillId="0" borderId="0" xfId="0" applyAlignment="1">
      <alignment vertical="center"/>
    </xf>
    <xf numFmtId="0" fontId="28" fillId="0" borderId="8" xfId="0" applyFont="1" applyBorder="1" applyAlignment="1">
      <alignment horizontal="center" vertical="center"/>
    </xf>
    <xf numFmtId="165" fontId="0" fillId="0" borderId="9" xfId="1" applyNumberFormat="1" applyFont="1" applyBorder="1" applyAlignment="1">
      <alignment horizontal="center" vertical="center"/>
    </xf>
    <xf numFmtId="9" fontId="0" fillId="3" borderId="0" xfId="1" applyFont="1" applyFill="1" applyBorder="1" applyAlignment="1">
      <alignment horizontal="center" vertical="center"/>
    </xf>
    <xf numFmtId="3" fontId="0" fillId="0" borderId="0" xfId="0" applyNumberFormat="1" applyAlignment="1">
      <alignment horizontal="center" vertical="center"/>
    </xf>
    <xf numFmtId="0" fontId="0" fillId="0" borderId="30" xfId="0" applyBorder="1" applyAlignment="1">
      <alignment vertical="center"/>
    </xf>
    <xf numFmtId="0" fontId="29" fillId="0" borderId="0" xfId="0" applyFont="1" applyAlignment="1">
      <alignment vertical="center"/>
    </xf>
    <xf numFmtId="0" fontId="29" fillId="0" borderId="0" xfId="0" applyFont="1" applyAlignment="1">
      <alignment horizontal="center" vertical="center"/>
    </xf>
    <xf numFmtId="165" fontId="0" fillId="0" borderId="6" xfId="1" applyNumberFormat="1" applyFont="1" applyBorder="1" applyAlignment="1">
      <alignment horizontal="center" vertical="center"/>
    </xf>
    <xf numFmtId="0" fontId="30" fillId="0" borderId="1" xfId="0" applyFont="1" applyBorder="1" applyAlignment="1">
      <alignment vertical="center"/>
    </xf>
    <xf numFmtId="0" fontId="30" fillId="0" borderId="1" xfId="0" applyFont="1" applyBorder="1" applyAlignment="1">
      <alignment horizontal="center" vertical="center"/>
    </xf>
    <xf numFmtId="165" fontId="0" fillId="0" borderId="11" xfId="1" applyNumberFormat="1" applyFont="1" applyBorder="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165" fontId="0" fillId="3" borderId="0" xfId="1" applyNumberFormat="1" applyFont="1" applyFill="1" applyBorder="1" applyAlignment="1">
      <alignment horizontal="center" vertical="center"/>
    </xf>
    <xf numFmtId="9" fontId="30" fillId="3" borderId="0" xfId="1" applyFont="1" applyFill="1" applyBorder="1" applyAlignment="1">
      <alignment horizontal="center" vertical="center"/>
    </xf>
    <xf numFmtId="9" fontId="1" fillId="3" borderId="0" xfId="1" applyFont="1" applyFill="1" applyBorder="1" applyAlignment="1">
      <alignment horizontal="center" vertical="center"/>
    </xf>
    <xf numFmtId="9" fontId="26" fillId="3" borderId="0" xfId="1" applyFont="1" applyFill="1" applyBorder="1" applyAlignment="1">
      <alignment horizontal="center" vertical="center"/>
    </xf>
    <xf numFmtId="165" fontId="1" fillId="3" borderId="0" xfId="1" applyNumberFormat="1" applyFont="1" applyFill="1" applyBorder="1" applyAlignment="1">
      <alignment horizontal="center" vertical="center"/>
    </xf>
    <xf numFmtId="165" fontId="30" fillId="3" borderId="0" xfId="1" applyNumberFormat="1" applyFont="1" applyFill="1" applyBorder="1" applyAlignment="1">
      <alignment horizontal="center" vertical="center"/>
    </xf>
    <xf numFmtId="0" fontId="0" fillId="0" borderId="39" xfId="0" applyBorder="1"/>
    <xf numFmtId="0" fontId="0" fillId="0" borderId="40" xfId="0" applyBorder="1"/>
    <xf numFmtId="0" fontId="0" fillId="0" borderId="40" xfId="0" applyBorder="1" applyAlignment="1">
      <alignment horizontal="center"/>
    </xf>
    <xf numFmtId="3" fontId="0" fillId="0" borderId="40" xfId="0" applyNumberFormat="1" applyBorder="1" applyAlignment="1">
      <alignment horizontal="center"/>
    </xf>
    <xf numFmtId="0" fontId="0" fillId="0" borderId="41" xfId="0" applyBorder="1"/>
    <xf numFmtId="3" fontId="0" fillId="0" borderId="0" xfId="0" applyNumberFormat="1" applyAlignment="1">
      <alignment horizontal="center"/>
    </xf>
    <xf numFmtId="0" fontId="0" fillId="0" borderId="1" xfId="0" applyBorder="1"/>
    <xf numFmtId="0" fontId="0" fillId="0" borderId="41" xfId="0" applyBorder="1" applyAlignment="1">
      <alignment horizontal="center"/>
    </xf>
    <xf numFmtId="0" fontId="6" fillId="0" borderId="22" xfId="0" applyFont="1" applyBorder="1" applyAlignment="1">
      <alignment vertical="center"/>
    </xf>
    <xf numFmtId="0" fontId="6" fillId="0" borderId="0" xfId="0" applyFont="1" applyAlignment="1">
      <alignment vertical="center"/>
    </xf>
    <xf numFmtId="0" fontId="0" fillId="5" borderId="10" xfId="0" applyFill="1" applyBorder="1" applyAlignment="1">
      <alignment horizontal="center"/>
    </xf>
    <xf numFmtId="0" fontId="0" fillId="5" borderId="1" xfId="0" applyFill="1" applyBorder="1" applyAlignment="1">
      <alignment horizontal="center"/>
    </xf>
    <xf numFmtId="3" fontId="0" fillId="5" borderId="24" xfId="0" applyNumberFormat="1" applyFill="1" applyBorder="1" applyAlignment="1">
      <alignment horizontal="center"/>
    </xf>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0" xfId="0" applyFill="1" applyBorder="1"/>
    <xf numFmtId="0" fontId="0" fillId="5" borderId="22" xfId="0" applyFill="1" applyBorder="1"/>
    <xf numFmtId="0" fontId="0" fillId="5" borderId="21" xfId="0" applyFill="1" applyBorder="1" applyAlignment="1">
      <alignment horizontal="center"/>
    </xf>
    <xf numFmtId="3" fontId="0" fillId="5" borderId="21" xfId="0" applyNumberFormat="1" applyFill="1" applyBorder="1" applyAlignment="1">
      <alignment horizontal="center"/>
    </xf>
    <xf numFmtId="3" fontId="0" fillId="5" borderId="0" xfId="0" applyNumberFormat="1" applyFill="1" applyBorder="1" applyAlignment="1">
      <alignment horizontal="center"/>
    </xf>
    <xf numFmtId="0" fontId="0" fillId="5" borderId="39" xfId="0" applyFill="1" applyBorder="1"/>
    <xf numFmtId="0" fontId="0" fillId="5" borderId="40" xfId="0" applyFill="1" applyBorder="1"/>
    <xf numFmtId="0" fontId="0" fillId="5" borderId="41" xfId="0" applyFill="1" applyBorder="1"/>
    <xf numFmtId="0" fontId="31" fillId="5" borderId="0" xfId="0" applyFont="1" applyFill="1" applyBorder="1"/>
    <xf numFmtId="0" fontId="0" fillId="5" borderId="30" xfId="0" applyFill="1" applyBorder="1"/>
    <xf numFmtId="3" fontId="0" fillId="0" borderId="1" xfId="0" applyNumberFormat="1" applyBorder="1" applyAlignment="1">
      <alignment horizontal="center"/>
    </xf>
    <xf numFmtId="3" fontId="0" fillId="2" borderId="2" xfId="0" applyNumberFormat="1" applyFont="1" applyFill="1" applyBorder="1" applyAlignment="1">
      <alignment horizontal="center" vertical="center"/>
    </xf>
    <xf numFmtId="0" fontId="32" fillId="5" borderId="0" xfId="0" applyFont="1" applyFill="1" applyBorder="1" applyAlignment="1">
      <alignment horizontal="center" vertical="center"/>
    </xf>
    <xf numFmtId="0" fontId="20" fillId="3" borderId="0" xfId="0" applyFont="1" applyFill="1" applyBorder="1" applyAlignment="1">
      <alignment horizontal="left" vertical="center" wrapText="1"/>
    </xf>
    <xf numFmtId="0" fontId="20" fillId="3" borderId="1" xfId="2"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0" xfId="2" applyFont="1" applyFill="1" applyBorder="1" applyAlignment="1">
      <alignment horizontal="left" vertical="center" wrapText="1"/>
    </xf>
    <xf numFmtId="166" fontId="0" fillId="3" borderId="2" xfId="0" applyNumberFormat="1" applyFill="1" applyBorder="1" applyAlignment="1">
      <alignment horizontal="center" vertical="center"/>
    </xf>
    <xf numFmtId="166" fontId="15" fillId="3" borderId="17" xfId="0" applyNumberFormat="1" applyFont="1" applyFill="1" applyBorder="1" applyAlignment="1" applyProtection="1">
      <alignment horizontal="center" vertical="center"/>
    </xf>
    <xf numFmtId="166" fontId="0" fillId="3" borderId="0" xfId="0" applyNumberFormat="1" applyFont="1" applyFill="1" applyAlignment="1">
      <alignment horizontal="center" vertical="center"/>
    </xf>
    <xf numFmtId="3" fontId="0" fillId="3" borderId="0" xfId="0" applyNumberFormat="1" applyFill="1" applyBorder="1" applyAlignment="1" applyProtection="1">
      <alignment horizontal="left" vertical="center" wrapText="1"/>
      <protection locked="0"/>
    </xf>
    <xf numFmtId="0" fontId="6" fillId="3" borderId="5" xfId="0" applyFont="1" applyFill="1" applyBorder="1" applyAlignment="1">
      <alignment vertical="center"/>
    </xf>
    <xf numFmtId="0" fontId="14" fillId="3" borderId="1" xfId="0" applyFont="1" applyFill="1" applyBorder="1" applyAlignment="1">
      <alignment horizontal="center" vertical="center"/>
    </xf>
    <xf numFmtId="0" fontId="5" fillId="3" borderId="0" xfId="0" applyFont="1" applyFill="1" applyBorder="1" applyAlignment="1"/>
    <xf numFmtId="0" fontId="3" fillId="3" borderId="3" xfId="0" applyFont="1" applyFill="1" applyBorder="1" applyAlignment="1">
      <alignment vertical="center"/>
    </xf>
    <xf numFmtId="0" fontId="3" fillId="3" borderId="7" xfId="0" applyFont="1" applyFill="1" applyBorder="1" applyAlignment="1">
      <alignment vertical="center"/>
    </xf>
    <xf numFmtId="0" fontId="0" fillId="3" borderId="8" xfId="0" applyFill="1" applyBorder="1" applyAlignment="1">
      <alignment vertical="center"/>
    </xf>
    <xf numFmtId="0" fontId="3" fillId="3" borderId="10" xfId="0" applyFont="1" applyFill="1" applyBorder="1" applyAlignment="1">
      <alignment vertical="center"/>
    </xf>
    <xf numFmtId="3" fontId="0" fillId="2" borderId="2" xfId="1" applyNumberFormat="1" applyFont="1" applyFill="1" applyBorder="1" applyAlignment="1">
      <alignment horizontal="center" vertical="center"/>
    </xf>
    <xf numFmtId="3" fontId="0" fillId="3" borderId="0" xfId="1" applyNumberFormat="1" applyFont="1" applyFill="1" applyBorder="1" applyAlignment="1">
      <alignment horizontal="center" vertical="center"/>
    </xf>
    <xf numFmtId="3" fontId="3" fillId="3" borderId="9" xfId="0" applyNumberFormat="1" applyFont="1" applyFill="1" applyBorder="1" applyAlignment="1">
      <alignment horizontal="center" vertical="center"/>
    </xf>
    <xf numFmtId="0" fontId="15" fillId="3" borderId="15" xfId="0" applyFont="1" applyFill="1" applyBorder="1" applyAlignment="1">
      <alignment horizontal="left" vertical="center"/>
    </xf>
    <xf numFmtId="0" fontId="15" fillId="3" borderId="1" xfId="0" applyFont="1" applyFill="1" applyBorder="1" applyAlignment="1">
      <alignment vertical="center"/>
    </xf>
    <xf numFmtId="166" fontId="3" fillId="3" borderId="4" xfId="0" applyNumberFormat="1" applyFont="1" applyFill="1" applyBorder="1" applyAlignment="1">
      <alignment horizontal="center" vertical="center"/>
    </xf>
    <xf numFmtId="0" fontId="3" fillId="3" borderId="5" xfId="0" applyFont="1" applyFill="1" applyBorder="1" applyAlignment="1">
      <alignment vertical="center"/>
    </xf>
    <xf numFmtId="0" fontId="3" fillId="3" borderId="3" xfId="0" applyFont="1" applyFill="1" applyBorder="1" applyAlignment="1">
      <alignment horizontal="left" vertical="center"/>
    </xf>
    <xf numFmtId="0" fontId="0" fillId="3" borderId="0" xfId="0" applyFont="1" applyFill="1" applyAlignment="1">
      <alignment horizontal="left" vertical="center" wrapText="1"/>
    </xf>
    <xf numFmtId="0" fontId="3"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vertical="center"/>
    </xf>
    <xf numFmtId="10" fontId="3" fillId="3" borderId="9" xfId="1" applyNumberFormat="1" applyFont="1" applyFill="1" applyBorder="1" applyAlignment="1">
      <alignment horizontal="center" vertical="center"/>
    </xf>
    <xf numFmtId="9" fontId="3" fillId="3" borderId="11" xfId="1" applyFont="1" applyFill="1" applyBorder="1" applyAlignment="1">
      <alignment horizontal="center" vertical="center"/>
    </xf>
    <xf numFmtId="0" fontId="14" fillId="3" borderId="0" xfId="0" applyFont="1" applyFill="1" applyAlignment="1">
      <alignment horizontal="left" vertical="center" wrapText="1"/>
    </xf>
    <xf numFmtId="0" fontId="3" fillId="3" borderId="3" xfId="0" applyFont="1" applyFill="1" applyBorder="1" applyAlignment="1">
      <alignment horizontal="left" vertical="center" wrapText="1"/>
    </xf>
    <xf numFmtId="166" fontId="0" fillId="3" borderId="4" xfId="0" applyNumberFormat="1" applyFill="1" applyBorder="1" applyAlignment="1">
      <alignment horizontal="center" vertical="center"/>
    </xf>
    <xf numFmtId="0" fontId="33" fillId="3" borderId="0" xfId="0" applyFont="1" applyFill="1" applyAlignment="1">
      <alignment horizontal="left" vertical="center" wrapText="1"/>
    </xf>
    <xf numFmtId="0" fontId="21" fillId="3" borderId="0" xfId="0" applyFont="1" applyFill="1" applyAlignment="1">
      <alignment vertical="center"/>
    </xf>
    <xf numFmtId="0" fontId="21" fillId="0" borderId="0" xfId="2" applyFont="1" applyFill="1" applyAlignment="1">
      <alignment horizontal="left" vertical="center"/>
    </xf>
    <xf numFmtId="0" fontId="21" fillId="3" borderId="0" xfId="0" applyFont="1" applyFill="1" applyAlignment="1">
      <alignment horizontal="left" vertical="center"/>
    </xf>
    <xf numFmtId="0" fontId="34" fillId="3" borderId="0" xfId="2" applyFont="1" applyFill="1"/>
    <xf numFmtId="0" fontId="4" fillId="3" borderId="0" xfId="0" applyFont="1" applyFill="1" applyAlignment="1">
      <alignment horizontal="left" vertical="center" wrapText="1"/>
    </xf>
    <xf numFmtId="9" fontId="3" fillId="3" borderId="9" xfId="1" applyFont="1" applyFill="1" applyBorder="1" applyAlignment="1">
      <alignment horizontal="center" vertical="center"/>
    </xf>
    <xf numFmtId="0" fontId="6" fillId="3" borderId="0" xfId="0" applyFont="1" applyFill="1" applyAlignment="1">
      <alignment vertical="top"/>
    </xf>
    <xf numFmtId="166" fontId="0" fillId="2" borderId="2" xfId="0" applyNumberFormat="1" applyFill="1" applyBorder="1" applyAlignment="1" applyProtection="1">
      <alignment horizontal="center" vertical="center"/>
      <protection locked="0"/>
    </xf>
    <xf numFmtId="166" fontId="15" fillId="3" borderId="1" xfId="0" applyNumberFormat="1" applyFont="1" applyFill="1" applyBorder="1" applyAlignment="1">
      <alignment horizontal="center" vertical="center"/>
    </xf>
    <xf numFmtId="166" fontId="3" fillId="3" borderId="11" xfId="0" applyNumberFormat="1" applyFont="1" applyFill="1" applyBorder="1" applyAlignment="1">
      <alignment horizontal="center" vertical="center"/>
    </xf>
    <xf numFmtId="165" fontId="3" fillId="3" borderId="11" xfId="1" applyNumberFormat="1" applyFont="1" applyFill="1" applyBorder="1" applyAlignment="1">
      <alignment horizontal="center" vertical="center"/>
    </xf>
    <xf numFmtId="166" fontId="3" fillId="3" borderId="0" xfId="1" applyNumberFormat="1" applyFont="1" applyFill="1" applyBorder="1" applyAlignment="1">
      <alignment horizontal="center" vertical="center"/>
    </xf>
    <xf numFmtId="166" fontId="3" fillId="3" borderId="9" xfId="0" applyNumberFormat="1" applyFont="1" applyFill="1" applyBorder="1" applyAlignment="1">
      <alignment horizontal="center" vertical="center"/>
    </xf>
    <xf numFmtId="0" fontId="6" fillId="3" borderId="0" xfId="0" applyFont="1" applyFill="1" applyBorder="1" applyAlignment="1">
      <alignment vertical="top"/>
    </xf>
    <xf numFmtId="166" fontId="0" fillId="3" borderId="0" xfId="0" applyNumberFormat="1" applyFill="1" applyAlignment="1">
      <alignment horizontal="center"/>
    </xf>
    <xf numFmtId="166" fontId="0" fillId="3" borderId="0" xfId="0" applyNumberFormat="1" applyFill="1" applyBorder="1" applyAlignment="1">
      <alignment horizontal="center" vertical="center"/>
    </xf>
    <xf numFmtId="0" fontId="21" fillId="3" borderId="0" xfId="0" applyFont="1" applyFill="1" applyAlignment="1">
      <alignment horizontal="left" vertical="center" wrapText="1"/>
    </xf>
    <xf numFmtId="0" fontId="7" fillId="3" borderId="0" xfId="0" applyFont="1" applyFill="1" applyAlignment="1">
      <alignment vertical="center"/>
    </xf>
    <xf numFmtId="0" fontId="3" fillId="3" borderId="0" xfId="0" applyFont="1" applyFill="1" applyAlignment="1">
      <alignment horizontal="right" vertical="center"/>
    </xf>
    <xf numFmtId="0" fontId="20" fillId="3" borderId="0" xfId="2" applyFont="1" applyFill="1" applyAlignment="1" applyProtection="1">
      <alignment vertical="center"/>
      <protection locked="0"/>
    </xf>
    <xf numFmtId="0" fontId="31" fillId="3" borderId="0" xfId="0" applyFont="1" applyFill="1"/>
    <xf numFmtId="0" fontId="0" fillId="4" borderId="2" xfId="0" applyFill="1" applyBorder="1" applyAlignment="1">
      <alignment horizontal="center" vertical="center"/>
    </xf>
    <xf numFmtId="0" fontId="0" fillId="3" borderId="5" xfId="0" applyFill="1" applyBorder="1" applyAlignment="1">
      <alignment horizontal="center" vertical="center"/>
    </xf>
    <xf numFmtId="0" fontId="4" fillId="0" borderId="0" xfId="0" applyFont="1" applyAlignment="1">
      <alignment horizontal="left" vertical="center"/>
    </xf>
    <xf numFmtId="0" fontId="0" fillId="3" borderId="0" xfId="0" applyFill="1" applyAlignment="1" applyProtection="1">
      <alignment horizontal="left" vertical="center"/>
      <protection locked="0"/>
    </xf>
    <xf numFmtId="0" fontId="4" fillId="3" borderId="42" xfId="0" applyFont="1" applyFill="1" applyBorder="1" applyAlignment="1">
      <alignment horizontal="left" vertical="center" wrapText="1"/>
    </xf>
    <xf numFmtId="0" fontId="0" fillId="3" borderId="42" xfId="0" applyFill="1" applyBorder="1" applyAlignment="1">
      <alignment horizontal="center" vertical="center" wrapText="1"/>
    </xf>
    <xf numFmtId="0" fontId="0" fillId="3" borderId="42" xfId="0" applyFill="1" applyBorder="1"/>
    <xf numFmtId="0" fontId="0" fillId="3" borderId="42" xfId="0" applyFill="1" applyBorder="1" applyAlignment="1">
      <alignment horizontal="left" vertical="center"/>
    </xf>
    <xf numFmtId="0" fontId="6" fillId="3" borderId="0" xfId="0" applyFont="1" applyFill="1" applyAlignment="1">
      <alignment horizontal="left" vertical="top" wrapText="1"/>
    </xf>
    <xf numFmtId="0" fontId="6" fillId="3" borderId="0" xfId="0" applyFont="1" applyFill="1" applyAlignment="1">
      <alignment vertical="top" wrapText="1"/>
    </xf>
    <xf numFmtId="0" fontId="3" fillId="3" borderId="0" xfId="0" applyFont="1" applyFill="1" applyAlignment="1">
      <alignment horizontal="left" vertical="top" wrapText="1"/>
    </xf>
    <xf numFmtId="0" fontId="31" fillId="3" borderId="0" xfId="0" applyFont="1" applyFill="1" applyAlignment="1">
      <alignment vertical="center" wrapText="1"/>
    </xf>
    <xf numFmtId="0" fontId="14" fillId="3" borderId="0" xfId="0" applyFont="1" applyFill="1" applyAlignment="1">
      <alignment wrapText="1"/>
    </xf>
    <xf numFmtId="3" fontId="0" fillId="4" borderId="2" xfId="0" applyNumberFormat="1" applyFill="1" applyBorder="1" applyAlignment="1">
      <alignment horizontal="center" vertical="center"/>
    </xf>
    <xf numFmtId="0" fontId="15" fillId="3" borderId="0" xfId="0" applyFont="1" applyFill="1" applyAlignment="1">
      <alignment vertical="center"/>
    </xf>
    <xf numFmtId="0" fontId="15" fillId="3" borderId="0" xfId="0" applyFont="1" applyFill="1"/>
    <xf numFmtId="0" fontId="4" fillId="3" borderId="42" xfId="0" applyFont="1" applyFill="1" applyBorder="1" applyAlignment="1">
      <alignment vertical="center" wrapText="1"/>
    </xf>
    <xf numFmtId="0" fontId="15" fillId="3" borderId="0" xfId="0" applyFont="1" applyFill="1" applyAlignment="1">
      <alignment vertical="center" wrapText="1"/>
    </xf>
    <xf numFmtId="0" fontId="0" fillId="3" borderId="0" xfId="0" applyFill="1" applyAlignment="1" applyProtection="1">
      <alignment horizontal="left" vertical="center" wrapText="1"/>
      <protection locked="0"/>
    </xf>
    <xf numFmtId="3" fontId="0" fillId="3" borderId="4" xfId="0" applyNumberFormat="1" applyFill="1" applyBorder="1" applyAlignment="1">
      <alignment horizontal="center" vertical="center"/>
    </xf>
    <xf numFmtId="0" fontId="6" fillId="3" borderId="0" xfId="0" applyFont="1" applyFill="1" applyAlignment="1">
      <alignment vertical="center"/>
    </xf>
    <xf numFmtId="3" fontId="3" fillId="3" borderId="0" xfId="0" applyNumberFormat="1" applyFont="1" applyFill="1" applyAlignment="1">
      <alignment horizontal="center" vertical="center"/>
    </xf>
    <xf numFmtId="0" fontId="22" fillId="3" borderId="0" xfId="0" applyFont="1" applyFill="1" applyAlignment="1">
      <alignment horizontal="left" vertical="center" wrapText="1"/>
    </xf>
    <xf numFmtId="166" fontId="15" fillId="3" borderId="17" xfId="0" applyNumberFormat="1" applyFont="1" applyFill="1" applyBorder="1" applyAlignment="1">
      <alignment horizontal="center" vertical="center"/>
    </xf>
    <xf numFmtId="0" fontId="31" fillId="3" borderId="3" xfId="0" applyFont="1" applyFill="1" applyBorder="1" applyAlignment="1">
      <alignment horizontal="left" vertical="center"/>
    </xf>
    <xf numFmtId="166" fontId="0" fillId="2" borderId="2" xfId="0" applyNumberFormat="1" applyFill="1" applyBorder="1" applyAlignment="1">
      <alignment horizontal="center" vertical="center"/>
    </xf>
    <xf numFmtId="166" fontId="0" fillId="4" borderId="2" xfId="0" applyNumberFormat="1" applyFill="1" applyBorder="1" applyAlignment="1">
      <alignment horizontal="center" vertical="center" wrapText="1"/>
    </xf>
    <xf numFmtId="165" fontId="28" fillId="2" borderId="27" xfId="1" applyNumberFormat="1" applyFont="1" applyFill="1" applyBorder="1" applyAlignment="1">
      <alignment horizontal="center" vertical="center"/>
    </xf>
    <xf numFmtId="165" fontId="29" fillId="2" borderId="31" xfId="1" applyNumberFormat="1" applyFont="1" applyFill="1" applyBorder="1" applyAlignment="1">
      <alignment horizontal="center" vertical="center"/>
    </xf>
    <xf numFmtId="165" fontId="29" fillId="2" borderId="33" xfId="1" applyNumberFormat="1" applyFont="1" applyFill="1" applyBorder="1" applyAlignment="1">
      <alignment horizontal="center" vertical="center"/>
    </xf>
    <xf numFmtId="165" fontId="30" fillId="2" borderId="35" xfId="1" applyNumberFormat="1" applyFont="1" applyFill="1" applyBorder="1" applyAlignment="1">
      <alignment horizontal="center" vertical="center"/>
    </xf>
    <xf numFmtId="3" fontId="4" fillId="3" borderId="0" xfId="0" applyNumberFormat="1" applyFont="1" applyFill="1" applyBorder="1" applyAlignment="1" applyProtection="1">
      <alignment horizontal="left" vertical="top" wrapText="1"/>
      <protection locked="0"/>
    </xf>
    <xf numFmtId="0" fontId="3" fillId="3" borderId="0" xfId="0" applyFont="1" applyFill="1" applyBorder="1" applyAlignment="1">
      <alignment vertical="center"/>
    </xf>
    <xf numFmtId="165" fontId="3" fillId="3" borderId="0" xfId="1" applyNumberFormat="1" applyFont="1" applyFill="1" applyBorder="1" applyAlignment="1">
      <alignment horizontal="center" vertical="center"/>
    </xf>
    <xf numFmtId="0" fontId="0" fillId="3" borderId="0" xfId="0" applyFill="1" applyBorder="1" applyAlignment="1" applyProtection="1">
      <alignment horizontal="center" vertical="center" wrapText="1"/>
      <protection locked="0"/>
    </xf>
    <xf numFmtId="3" fontId="6" fillId="3" borderId="0" xfId="0" applyNumberFormat="1" applyFont="1" applyFill="1" applyBorder="1" applyAlignment="1" applyProtection="1">
      <alignment horizontal="left" vertical="top" wrapText="1"/>
      <protection locked="0"/>
    </xf>
    <xf numFmtId="3" fontId="4" fillId="3" borderId="0" xfId="0" applyNumberFormat="1" applyFont="1" applyFill="1" applyBorder="1" applyAlignment="1" applyProtection="1">
      <alignment horizontal="left" vertical="center" wrapText="1"/>
      <protection locked="0"/>
    </xf>
    <xf numFmtId="3" fontId="3" fillId="3" borderId="0" xfId="0" applyNumberFormat="1" applyFont="1" applyFill="1" applyBorder="1" applyAlignment="1" applyProtection="1">
      <alignment horizontal="left" vertical="center" wrapText="1"/>
      <protection locked="0"/>
    </xf>
    <xf numFmtId="0" fontId="3" fillId="3" borderId="0" xfId="0" applyFont="1" applyFill="1" applyAlignment="1">
      <alignment horizontal="center" vertical="center" wrapText="1"/>
    </xf>
    <xf numFmtId="0" fontId="0" fillId="3" borderId="1" xfId="0" applyFill="1" applyBorder="1" applyAlignment="1">
      <alignment horizontal="center" wrapText="1"/>
    </xf>
    <xf numFmtId="0" fontId="6" fillId="3" borderId="0" xfId="0" applyFont="1" applyFill="1" applyAlignment="1">
      <alignment horizontal="center" wrapText="1"/>
    </xf>
    <xf numFmtId="0" fontId="4" fillId="3" borderId="0" xfId="0" applyFont="1" applyFill="1" applyAlignment="1">
      <alignment horizontal="center" vertical="center" wrapText="1"/>
    </xf>
    <xf numFmtId="0" fontId="0" fillId="3" borderId="0" xfId="0" applyFill="1" applyAlignment="1">
      <alignment horizontal="center" vertical="center" wrapText="1"/>
    </xf>
    <xf numFmtId="0" fontId="4" fillId="3" borderId="0" xfId="0" applyFont="1" applyFill="1" applyAlignment="1">
      <alignment horizontal="center" wrapText="1"/>
    </xf>
    <xf numFmtId="0" fontId="6" fillId="3" borderId="0" xfId="0" applyFont="1" applyFill="1" applyAlignment="1">
      <alignment horizontal="center" vertical="top" wrapText="1"/>
    </xf>
    <xf numFmtId="0" fontId="3" fillId="3" borderId="0" xfId="0" applyFont="1" applyFill="1" applyAlignment="1">
      <alignment horizontal="center" vertical="top" wrapText="1"/>
    </xf>
    <xf numFmtId="0" fontId="0" fillId="3" borderId="42"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4" fillId="3" borderId="42" xfId="0" applyFont="1" applyFill="1" applyBorder="1" applyAlignment="1">
      <alignment horizontal="center" vertical="center" wrapText="1"/>
    </xf>
    <xf numFmtId="0" fontId="3" fillId="3" borderId="0" xfId="0" applyFont="1" applyFill="1" applyAlignment="1">
      <alignment horizontal="left" vertical="center"/>
    </xf>
    <xf numFmtId="0" fontId="0" fillId="3" borderId="1" xfId="0" applyFill="1" applyBorder="1" applyAlignment="1">
      <alignment horizontal="left"/>
    </xf>
    <xf numFmtId="3" fontId="0" fillId="3" borderId="0" xfId="0" applyNumberFormat="1" applyFill="1" applyAlignment="1">
      <alignment horizontal="left" vertical="center"/>
    </xf>
    <xf numFmtId="0" fontId="0" fillId="3" borderId="0"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0" xfId="0" applyFont="1" applyFill="1" applyAlignment="1">
      <alignment vertical="center" wrapText="1"/>
    </xf>
    <xf numFmtId="0" fontId="35" fillId="3" borderId="0" xfId="0" applyFont="1" applyFill="1" applyAlignment="1">
      <alignment vertical="center"/>
    </xf>
    <xf numFmtId="0" fontId="21" fillId="3" borderId="0" xfId="2" applyFont="1" applyFill="1" applyAlignment="1">
      <alignment vertical="center" wrapText="1"/>
    </xf>
    <xf numFmtId="3" fontId="0" fillId="4" borderId="2" xfId="1" applyNumberFormat="1" applyFont="1" applyFill="1" applyBorder="1" applyAlignment="1">
      <alignment horizontal="center" vertical="center"/>
    </xf>
    <xf numFmtId="0" fontId="31" fillId="3" borderId="0" xfId="0" applyFont="1" applyFill="1" applyAlignment="1">
      <alignment vertical="center"/>
    </xf>
    <xf numFmtId="0" fontId="3" fillId="3" borderId="8" xfId="0" applyFont="1" applyFill="1" applyBorder="1" applyAlignment="1">
      <alignment vertical="center"/>
    </xf>
    <xf numFmtId="0" fontId="15" fillId="3" borderId="10" xfId="0" applyFont="1" applyFill="1" applyBorder="1" applyAlignment="1">
      <alignment vertical="center"/>
    </xf>
    <xf numFmtId="166" fontId="15" fillId="3" borderId="11" xfId="0" applyNumberFormat="1" applyFont="1" applyFill="1" applyBorder="1" applyAlignment="1">
      <alignment horizontal="center" vertical="center"/>
    </xf>
    <xf numFmtId="165" fontId="1" fillId="7" borderId="26" xfId="1" applyNumberFormat="1" applyFont="1" applyFill="1" applyBorder="1" applyAlignment="1">
      <alignment horizontal="center" vertical="center"/>
    </xf>
    <xf numFmtId="165" fontId="29" fillId="7" borderId="32" xfId="1" applyNumberFormat="1" applyFont="1" applyFill="1" applyBorder="1" applyAlignment="1">
      <alignment horizontal="center" vertical="center"/>
    </xf>
    <xf numFmtId="165" fontId="1" fillId="7" borderId="37" xfId="1" applyNumberFormat="1" applyFont="1" applyFill="1" applyBorder="1" applyAlignment="1">
      <alignment horizontal="center" vertical="center"/>
    </xf>
    <xf numFmtId="0" fontId="8" fillId="0" borderId="0" xfId="0" applyFont="1"/>
    <xf numFmtId="0" fontId="4" fillId="0" borderId="0" xfId="0" applyFont="1"/>
    <xf numFmtId="0" fontId="4" fillId="0" borderId="0" xfId="0" applyFont="1" applyAlignment="1">
      <alignment horizontal="left"/>
    </xf>
    <xf numFmtId="0" fontId="3" fillId="0" borderId="0" xfId="0" applyFont="1"/>
    <xf numFmtId="0" fontId="36" fillId="0" borderId="0" xfId="0" applyFont="1"/>
    <xf numFmtId="0" fontId="0" fillId="0" borderId="0" xfId="0" applyAlignment="1">
      <alignment vertical="top"/>
    </xf>
    <xf numFmtId="0" fontId="0" fillId="0" borderId="0" xfId="0" applyFont="1" applyAlignment="1">
      <alignment horizontal="left"/>
    </xf>
    <xf numFmtId="0" fontId="37" fillId="3" borderId="8" xfId="0" applyFont="1" applyFill="1" applyBorder="1" applyAlignment="1">
      <alignment vertical="center"/>
    </xf>
    <xf numFmtId="165" fontId="37" fillId="2" borderId="28" xfId="1" applyNumberFormat="1" applyFont="1" applyFill="1" applyBorder="1" applyAlignment="1">
      <alignment horizontal="center" vertical="center"/>
    </xf>
    <xf numFmtId="0" fontId="38" fillId="2" borderId="11" xfId="0" applyFont="1" applyFill="1" applyBorder="1" applyAlignment="1">
      <alignment horizontal="center" vertical="center"/>
    </xf>
    <xf numFmtId="165" fontId="38" fillId="2" borderId="36" xfId="1" applyNumberFormat="1" applyFont="1" applyFill="1" applyBorder="1" applyAlignment="1">
      <alignment horizontal="center" vertical="center"/>
    </xf>
    <xf numFmtId="3" fontId="0" fillId="2" borderId="2" xfId="0" applyNumberFormat="1" applyFont="1" applyFill="1" applyBorder="1" applyAlignment="1" applyProtection="1">
      <alignment horizontal="center" vertical="center"/>
      <protection locked="0"/>
    </xf>
    <xf numFmtId="3" fontId="0" fillId="2" borderId="2" xfId="1" applyNumberFormat="1" applyFont="1" applyFill="1" applyBorder="1" applyAlignment="1" applyProtection="1">
      <alignment horizontal="center" vertical="center"/>
      <protection locked="0"/>
    </xf>
    <xf numFmtId="166" fontId="0" fillId="4" borderId="2" xfId="0" applyNumberFormat="1"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3" fontId="0" fillId="0" borderId="24" xfId="0" applyNumberFormat="1" applyBorder="1" applyAlignment="1" applyProtection="1">
      <alignment horizontal="center" vertical="center"/>
      <protection locked="0"/>
    </xf>
    <xf numFmtId="3" fontId="0" fillId="0" borderId="0" xfId="0" applyNumberFormat="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0" fillId="0" borderId="10" xfId="0" applyBorder="1" applyAlignment="1" applyProtection="1">
      <alignment horizontal="center" vertical="center"/>
    </xf>
    <xf numFmtId="0" fontId="0" fillId="0" borderId="1" xfId="0" applyBorder="1" applyAlignment="1" applyProtection="1">
      <alignment horizontal="center" vertical="center"/>
    </xf>
    <xf numFmtId="0" fontId="0" fillId="0" borderId="11" xfId="0" applyBorder="1" applyAlignment="1" applyProtection="1">
      <alignment horizontal="center" vertical="center"/>
    </xf>
    <xf numFmtId="3" fontId="0" fillId="0" borderId="24" xfId="0" applyNumberFormat="1" applyBorder="1" applyAlignment="1" applyProtection="1">
      <alignment horizontal="center" vertical="center"/>
    </xf>
    <xf numFmtId="3" fontId="0" fillId="0" borderId="0" xfId="0" applyNumberFormat="1" applyAlignment="1" applyProtection="1">
      <alignment horizontal="center" vertical="center"/>
    </xf>
    <xf numFmtId="3" fontId="0" fillId="0" borderId="10" xfId="0" applyNumberFormat="1" applyBorder="1" applyAlignment="1" applyProtection="1">
      <alignment horizontal="center" vertical="center"/>
    </xf>
    <xf numFmtId="3" fontId="0" fillId="0" borderId="1" xfId="0" applyNumberFormat="1" applyBorder="1" applyAlignment="1" applyProtection="1">
      <alignment horizontal="center" vertical="center"/>
    </xf>
    <xf numFmtId="3" fontId="3" fillId="0" borderId="24" xfId="0" applyNumberFormat="1" applyFont="1" applyBorder="1" applyAlignment="1" applyProtection="1">
      <alignment horizontal="center"/>
    </xf>
    <xf numFmtId="166" fontId="3" fillId="0" borderId="0" xfId="0" applyNumberFormat="1" applyFont="1" applyAlignment="1" applyProtection="1">
      <alignment horizontal="center"/>
    </xf>
    <xf numFmtId="3" fontId="3" fillId="0" borderId="0" xfId="0" applyNumberFormat="1" applyFont="1" applyAlignment="1" applyProtection="1">
      <alignment horizontal="center"/>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3" fontId="0" fillId="0" borderId="24" xfId="0" applyNumberFormat="1" applyBorder="1" applyAlignment="1" applyProtection="1">
      <alignment horizontal="center"/>
      <protection locked="0"/>
    </xf>
    <xf numFmtId="3" fontId="0" fillId="0" borderId="0" xfId="0" applyNumberFormat="1" applyAlignment="1" applyProtection="1">
      <alignment horizontal="center"/>
      <protection locked="0"/>
    </xf>
    <xf numFmtId="0" fontId="0" fillId="2" borderId="24" xfId="0" applyFill="1" applyBorder="1" applyProtection="1"/>
    <xf numFmtId="0" fontId="0" fillId="3" borderId="24" xfId="0" applyFill="1" applyBorder="1" applyProtection="1"/>
    <xf numFmtId="0" fontId="28" fillId="2" borderId="25"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xf>
    <xf numFmtId="0" fontId="30" fillId="2" borderId="1" xfId="0" applyFont="1" applyFill="1" applyBorder="1" applyAlignment="1" applyProtection="1">
      <alignment horizontal="center" vertical="center"/>
    </xf>
    <xf numFmtId="0" fontId="0" fillId="2" borderId="10"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165" fontId="28" fillId="3" borderId="12" xfId="1" applyNumberFormat="1" applyFont="1" applyFill="1" applyBorder="1" applyAlignment="1" applyProtection="1">
      <alignment horizontal="center" vertical="center"/>
    </xf>
    <xf numFmtId="0" fontId="0" fillId="0" borderId="0" xfId="0" applyAlignment="1" applyProtection="1">
      <alignment horizontal="center" vertical="center"/>
    </xf>
    <xf numFmtId="165" fontId="29" fillId="3" borderId="14" xfId="1" applyNumberFormat="1" applyFont="1" applyFill="1" applyBorder="1" applyAlignment="1" applyProtection="1">
      <alignment horizontal="center" vertical="center"/>
    </xf>
    <xf numFmtId="165" fontId="30" fillId="3" borderId="13" xfId="1" applyNumberFormat="1" applyFont="1" applyFill="1" applyBorder="1" applyAlignment="1" applyProtection="1">
      <alignment horizontal="center" vertical="center"/>
    </xf>
    <xf numFmtId="0" fontId="0" fillId="0" borderId="13" xfId="0" applyBorder="1" applyAlignment="1" applyProtection="1">
      <alignment horizontal="center" vertical="center"/>
    </xf>
    <xf numFmtId="0" fontId="0" fillId="5" borderId="18" xfId="0" applyFill="1" applyBorder="1" applyProtection="1"/>
    <xf numFmtId="0" fontId="0" fillId="5" borderId="19" xfId="0" applyFill="1" applyBorder="1" applyProtection="1"/>
    <xf numFmtId="0" fontId="0" fillId="5" borderId="20" xfId="0" applyFill="1" applyBorder="1" applyProtection="1"/>
    <xf numFmtId="0" fontId="0" fillId="5" borderId="21" xfId="0" applyFill="1" applyBorder="1" applyProtection="1"/>
    <xf numFmtId="0" fontId="31" fillId="5" borderId="0" xfId="0" applyFont="1" applyFill="1" applyBorder="1" applyProtection="1"/>
    <xf numFmtId="0" fontId="0" fillId="5" borderId="0" xfId="0" applyFill="1" applyBorder="1" applyProtection="1"/>
    <xf numFmtId="0" fontId="0" fillId="5" borderId="22" xfId="0" applyFill="1" applyBorder="1" applyProtection="1"/>
    <xf numFmtId="0" fontId="0" fillId="5" borderId="21" xfId="0" applyFill="1" applyBorder="1" applyAlignment="1" applyProtection="1">
      <alignment horizontal="center"/>
    </xf>
    <xf numFmtId="0" fontId="0" fillId="5" borderId="10" xfId="0" applyFill="1" applyBorder="1" applyAlignment="1" applyProtection="1">
      <alignment horizontal="center"/>
    </xf>
    <xf numFmtId="0" fontId="0" fillId="5" borderId="1" xfId="0" applyFill="1" applyBorder="1" applyAlignment="1" applyProtection="1">
      <alignment horizontal="center"/>
    </xf>
    <xf numFmtId="0" fontId="0" fillId="5" borderId="30" xfId="0" applyFill="1" applyBorder="1" applyProtection="1"/>
    <xf numFmtId="3" fontId="0" fillId="5" borderId="21" xfId="0" applyNumberFormat="1" applyFill="1" applyBorder="1" applyAlignment="1" applyProtection="1">
      <alignment horizontal="center"/>
    </xf>
    <xf numFmtId="3" fontId="0" fillId="5" borderId="24" xfId="0" applyNumberFormat="1" applyFill="1" applyBorder="1" applyAlignment="1" applyProtection="1">
      <alignment horizontal="center"/>
    </xf>
    <xf numFmtId="3" fontId="0" fillId="5" borderId="0" xfId="0" applyNumberFormat="1" applyFill="1" applyBorder="1" applyAlignment="1" applyProtection="1">
      <alignment horizontal="center"/>
    </xf>
    <xf numFmtId="0" fontId="32" fillId="5" borderId="0" xfId="0" applyFont="1" applyFill="1" applyBorder="1" applyAlignment="1" applyProtection="1">
      <alignment horizontal="center" vertical="center"/>
    </xf>
    <xf numFmtId="0" fontId="0" fillId="5" borderId="39" xfId="0" applyFill="1" applyBorder="1" applyProtection="1"/>
    <xf numFmtId="0" fontId="0" fillId="5" borderId="40" xfId="0" applyFill="1" applyBorder="1" applyProtection="1"/>
    <xf numFmtId="0" fontId="0" fillId="5" borderId="41" xfId="0" applyFill="1" applyBorder="1" applyProtection="1"/>
    <xf numFmtId="0" fontId="0" fillId="0" borderId="1" xfId="0" applyBorder="1" applyAlignment="1" applyProtection="1">
      <alignment vertical="center"/>
      <protection locked="0"/>
    </xf>
    <xf numFmtId="0" fontId="28" fillId="3" borderId="8" xfId="0" applyFont="1" applyFill="1" applyBorder="1" applyAlignment="1" applyProtection="1">
      <alignment vertical="center"/>
      <protection locked="0"/>
    </xf>
    <xf numFmtId="0" fontId="28" fillId="0" borderId="8" xfId="0" applyFont="1" applyBorder="1" applyAlignment="1" applyProtection="1">
      <alignment horizontal="center" vertical="center"/>
      <protection locked="0"/>
    </xf>
    <xf numFmtId="165" fontId="0" fillId="0" borderId="9" xfId="1" applyNumberFormat="1" applyFont="1" applyBorder="1" applyAlignment="1" applyProtection="1">
      <alignment horizontal="center" vertical="center"/>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165" fontId="0" fillId="0" borderId="6" xfId="1" applyNumberFormat="1" applyFont="1" applyBorder="1" applyAlignment="1" applyProtection="1">
      <alignment horizontal="center" vertical="center"/>
      <protection locked="0"/>
    </xf>
    <xf numFmtId="0" fontId="30" fillId="0" borderId="1" xfId="0" applyFont="1" applyBorder="1" applyAlignment="1" applyProtection="1">
      <alignment vertical="center"/>
      <protection locked="0"/>
    </xf>
    <xf numFmtId="0" fontId="30" fillId="0" borderId="1" xfId="0" applyFont="1" applyBorder="1" applyAlignment="1" applyProtection="1">
      <alignment horizontal="center" vertical="center"/>
      <protection locked="0"/>
    </xf>
    <xf numFmtId="165" fontId="0" fillId="0" borderId="11" xfId="1" applyNumberFormat="1" applyFont="1" applyBorder="1" applyAlignment="1" applyProtection="1">
      <alignment horizontal="center" vertical="center"/>
      <protection locked="0"/>
    </xf>
    <xf numFmtId="0" fontId="0" fillId="0" borderId="18" xfId="0" applyBorder="1" applyProtection="1">
      <protection locked="0"/>
    </xf>
    <xf numFmtId="0" fontId="0" fillId="0" borderId="19" xfId="0" applyBorder="1" applyProtection="1">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Protection="1">
      <protection locked="0"/>
    </xf>
    <xf numFmtId="0" fontId="31" fillId="0" borderId="0" xfId="0" applyFont="1" applyProtection="1">
      <protection locked="0"/>
    </xf>
    <xf numFmtId="0" fontId="0" fillId="0" borderId="0" xfId="0"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9" fontId="0" fillId="0" borderId="0" xfId="1" applyFont="1" applyBorder="1" applyAlignment="1" applyProtection="1">
      <alignment horizontal="center"/>
      <protection locked="0"/>
    </xf>
    <xf numFmtId="0" fontId="0" fillId="0" borderId="39" xfId="0" applyBorder="1" applyProtection="1">
      <protection locked="0"/>
    </xf>
    <xf numFmtId="0" fontId="0" fillId="0" borderId="40" xfId="0" applyBorder="1" applyProtection="1">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15" fillId="0" borderId="0" xfId="0" applyFont="1" applyProtection="1">
      <protection locked="0"/>
    </xf>
    <xf numFmtId="0" fontId="0" fillId="0" borderId="21" xfId="0" applyBorder="1" applyAlignment="1" applyProtection="1">
      <alignment vertical="center"/>
      <protection locked="0"/>
    </xf>
    <xf numFmtId="0" fontId="0" fillId="0" borderId="0" xfId="0" applyAlignment="1" applyProtection="1">
      <alignment vertical="center"/>
      <protection locked="0"/>
    </xf>
    <xf numFmtId="9" fontId="0" fillId="0" borderId="0" xfId="1" applyFont="1" applyBorder="1" applyAlignment="1" applyProtection="1">
      <alignment horizontal="center" vertical="center"/>
      <protection locked="0"/>
    </xf>
    <xf numFmtId="9" fontId="0" fillId="0" borderId="11" xfId="1" applyFont="1" applyBorder="1" applyAlignment="1" applyProtection="1">
      <alignment horizontal="center" vertical="center"/>
      <protection locked="0"/>
    </xf>
    <xf numFmtId="166" fontId="15" fillId="3" borderId="4" xfId="0" applyNumberFormat="1" applyFont="1" applyFill="1" applyBorder="1" applyAlignment="1">
      <alignment horizontal="center" vertical="center"/>
    </xf>
    <xf numFmtId="0" fontId="14" fillId="3" borderId="0" xfId="0" applyFont="1" applyFill="1" applyBorder="1" applyAlignment="1">
      <alignment horizontal="center" vertical="center" wrapText="1"/>
    </xf>
    <xf numFmtId="3" fontId="0" fillId="3" borderId="1" xfId="0" applyNumberFormat="1" applyFont="1" applyFill="1" applyBorder="1" applyAlignment="1">
      <alignment horizontal="center" vertical="center"/>
    </xf>
    <xf numFmtId="0" fontId="0" fillId="3" borderId="0" xfId="0" applyFill="1" applyBorder="1" applyAlignment="1">
      <alignment horizontal="center" wrapText="1"/>
    </xf>
    <xf numFmtId="0" fontId="0" fillId="3" borderId="0" xfId="0" applyFill="1" applyBorder="1" applyAlignment="1">
      <alignment horizontal="left"/>
    </xf>
    <xf numFmtId="165" fontId="0" fillId="0" borderId="0" xfId="1" applyNumberFormat="1" applyFont="1" applyBorder="1" applyAlignment="1" applyProtection="1">
      <alignment horizontal="center" vertical="center"/>
      <protection locked="0"/>
    </xf>
    <xf numFmtId="3" fontId="0" fillId="3" borderId="8" xfId="0" applyNumberFormat="1" applyFill="1" applyBorder="1" applyAlignment="1" applyProtection="1">
      <alignment horizontal="left" vertical="center" wrapText="1"/>
      <protection locked="0"/>
    </xf>
    <xf numFmtId="3" fontId="0" fillId="3" borderId="1" xfId="0" applyNumberFormat="1" applyFill="1" applyBorder="1" applyAlignment="1">
      <alignment horizontal="left" vertical="center" wrapText="1"/>
    </xf>
    <xf numFmtId="49" fontId="0" fillId="0" borderId="0" xfId="0" applyNumberFormat="1"/>
    <xf numFmtId="0" fontId="0" fillId="0" borderId="0" xfId="0" applyAlignment="1">
      <alignment horizontal="left"/>
    </xf>
    <xf numFmtId="0" fontId="0" fillId="0" borderId="0" xfId="0" applyNumberFormat="1" applyAlignment="1">
      <alignment horizontal="left"/>
    </xf>
    <xf numFmtId="0" fontId="4" fillId="3" borderId="8" xfId="0" applyFont="1" applyFill="1" applyBorder="1" applyAlignment="1">
      <alignment vertical="center"/>
    </xf>
    <xf numFmtId="165" fontId="3" fillId="3" borderId="9" xfId="1" applyNumberFormat="1" applyFont="1" applyFill="1" applyBorder="1" applyAlignment="1" applyProtection="1">
      <alignment horizontal="center" vertical="center"/>
    </xf>
    <xf numFmtId="166" fontId="3" fillId="3" borderId="11" xfId="0" applyNumberFormat="1" applyFont="1" applyFill="1" applyBorder="1" applyAlignment="1" applyProtection="1">
      <alignment horizontal="center" vertical="center"/>
    </xf>
    <xf numFmtId="165" fontId="28" fillId="2" borderId="27" xfId="1" applyNumberFormat="1" applyFont="1" applyFill="1" applyBorder="1" applyAlignment="1" applyProtection="1">
      <alignment horizontal="center" vertical="center"/>
      <protection locked="0"/>
    </xf>
    <xf numFmtId="165" fontId="28" fillId="2" borderId="28" xfId="1" applyNumberFormat="1" applyFont="1" applyFill="1" applyBorder="1" applyAlignment="1" applyProtection="1">
      <alignment horizontal="center" vertical="center"/>
      <protection locked="0"/>
    </xf>
    <xf numFmtId="165" fontId="29" fillId="2" borderId="31" xfId="1" applyNumberFormat="1" applyFont="1" applyFill="1" applyBorder="1" applyAlignment="1" applyProtection="1">
      <alignment horizontal="center" vertical="center"/>
      <protection locked="0"/>
    </xf>
    <xf numFmtId="165" fontId="29" fillId="2" borderId="33" xfId="1" applyNumberFormat="1" applyFont="1" applyFill="1" applyBorder="1" applyAlignment="1" applyProtection="1">
      <alignment horizontal="center" vertical="center"/>
      <protection locked="0"/>
    </xf>
    <xf numFmtId="165" fontId="30" fillId="2" borderId="35" xfId="1" applyNumberFormat="1" applyFont="1" applyFill="1" applyBorder="1" applyAlignment="1" applyProtection="1">
      <alignment horizontal="center" vertical="center"/>
      <protection locked="0"/>
    </xf>
    <xf numFmtId="165" fontId="30" fillId="2" borderId="36" xfId="1" applyNumberFormat="1" applyFont="1" applyFill="1" applyBorder="1" applyAlignment="1" applyProtection="1">
      <alignment horizontal="center" vertical="center"/>
      <protection locked="0"/>
    </xf>
    <xf numFmtId="0" fontId="20" fillId="0" borderId="0" xfId="2" applyFont="1" applyFill="1" applyProtection="1">
      <protection locked="0"/>
    </xf>
    <xf numFmtId="0" fontId="3" fillId="3" borderId="0" xfId="0" applyFont="1" applyFill="1" applyAlignment="1">
      <alignment vertical="center" wrapText="1"/>
    </xf>
    <xf numFmtId="0" fontId="4" fillId="3" borderId="0" xfId="0" applyFont="1" applyFill="1" applyAlignment="1">
      <alignment horizontal="left" vertical="center" wrapText="1"/>
    </xf>
    <xf numFmtId="3" fontId="4" fillId="3" borderId="0" xfId="0" applyNumberFormat="1" applyFont="1" applyFill="1" applyBorder="1" applyAlignment="1" applyProtection="1">
      <alignment horizontal="left" vertical="top" wrapText="1"/>
      <protection locked="0"/>
    </xf>
    <xf numFmtId="166" fontId="0" fillId="4" borderId="2" xfId="0" applyNumberFormat="1" applyFill="1" applyBorder="1" applyAlignment="1" applyProtection="1">
      <alignment horizontal="center" vertical="center"/>
      <protection locked="0"/>
    </xf>
    <xf numFmtId="0" fontId="4" fillId="3" borderId="0" xfId="0" applyFont="1" applyFill="1" applyAlignment="1">
      <alignment horizontal="left" vertical="center" wrapText="1"/>
    </xf>
    <xf numFmtId="0" fontId="0" fillId="2" borderId="0" xfId="0" applyFill="1" applyBorder="1" applyAlignment="1" applyProtection="1">
      <alignment horizontal="center" vertical="center" wrapText="1"/>
      <protection locked="0"/>
    </xf>
    <xf numFmtId="0" fontId="0" fillId="2" borderId="0" xfId="0" applyFill="1" applyBorder="1" applyAlignment="1" applyProtection="1">
      <alignment horizontal="left" vertical="center" wrapText="1"/>
      <protection locked="0"/>
    </xf>
    <xf numFmtId="3" fontId="3" fillId="3" borderId="0" xfId="0" applyNumberFormat="1" applyFont="1" applyFill="1" applyBorder="1" applyAlignment="1" applyProtection="1">
      <alignment horizontal="left" wrapText="1"/>
      <protection locked="0"/>
    </xf>
    <xf numFmtId="0" fontId="3" fillId="3" borderId="0" xfId="0" applyFont="1" applyFill="1" applyBorder="1" applyAlignment="1">
      <alignment horizontal="left" vertical="center"/>
    </xf>
    <xf numFmtId="9" fontId="3" fillId="3" borderId="0" xfId="1" applyFont="1" applyFill="1" applyBorder="1" applyAlignment="1">
      <alignment horizontal="center" vertical="center"/>
    </xf>
    <xf numFmtId="3" fontId="6" fillId="3" borderId="0" xfId="0" applyNumberFormat="1" applyFont="1" applyFill="1" applyBorder="1" applyAlignment="1" applyProtection="1">
      <alignment horizontal="left" vertical="center" wrapText="1"/>
      <protection locked="0"/>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0" fillId="3" borderId="0" xfId="0" applyFill="1" applyBorder="1" applyAlignment="1">
      <alignment horizontal="center" vertical="center" wrapText="1"/>
    </xf>
    <xf numFmtId="0" fontId="0" fillId="3" borderId="0" xfId="0" applyFill="1" applyBorder="1" applyAlignment="1">
      <alignment horizontal="left" vertical="center"/>
    </xf>
    <xf numFmtId="165" fontId="1" fillId="7" borderId="26" xfId="1" applyNumberFormat="1" applyFont="1" applyFill="1" applyBorder="1" applyAlignment="1" applyProtection="1">
      <alignment horizontal="center" vertical="center"/>
    </xf>
    <xf numFmtId="165" fontId="29" fillId="7" borderId="32" xfId="1" applyNumberFormat="1" applyFont="1" applyFill="1" applyBorder="1" applyAlignment="1" applyProtection="1">
      <alignment horizontal="center" vertical="center"/>
    </xf>
    <xf numFmtId="165" fontId="1" fillId="7" borderId="37" xfId="1" applyNumberFormat="1" applyFont="1" applyFill="1" applyBorder="1" applyAlignment="1" applyProtection="1">
      <alignment horizontal="center" vertical="center"/>
    </xf>
    <xf numFmtId="0" fontId="3" fillId="0" borderId="1" xfId="0" applyFont="1" applyBorder="1"/>
    <xf numFmtId="0" fontId="3" fillId="0" borderId="1" xfId="0" applyFont="1" applyBorder="1" applyAlignment="1">
      <alignment horizontal="center"/>
    </xf>
    <xf numFmtId="0" fontId="3" fillId="2" borderId="1" xfId="0" applyFont="1" applyFill="1" applyBorder="1" applyAlignment="1">
      <alignment horizontal="center"/>
    </xf>
    <xf numFmtId="0" fontId="7" fillId="0" borderId="0" xfId="0" applyFont="1"/>
    <xf numFmtId="0" fontId="0" fillId="0" borderId="43" xfId="0"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5" xfId="0" applyFill="1" applyBorder="1" applyAlignment="1">
      <alignment vertical="center"/>
    </xf>
    <xf numFmtId="0" fontId="0" fillId="0" borderId="45" xfId="0" applyBorder="1" applyAlignment="1">
      <alignment horizontal="center" vertical="center"/>
    </xf>
    <xf numFmtId="166" fontId="0" fillId="2" borderId="43" xfId="0" applyNumberFormat="1" applyFill="1" applyBorder="1" applyAlignment="1">
      <alignment horizontal="center" vertical="center"/>
    </xf>
    <xf numFmtId="166" fontId="0" fillId="2" borderId="44" xfId="0" applyNumberFormat="1" applyFill="1" applyBorder="1" applyAlignment="1">
      <alignment horizontal="center" vertical="center"/>
    </xf>
    <xf numFmtId="166" fontId="0" fillId="2" borderId="46" xfId="0" applyNumberFormat="1" applyFill="1" applyBorder="1" applyAlignment="1">
      <alignment horizontal="center" vertical="center"/>
    </xf>
    <xf numFmtId="166" fontId="0" fillId="2" borderId="45" xfId="0" applyNumberFormat="1" applyFill="1" applyBorder="1" applyAlignment="1">
      <alignment horizontal="center" vertical="center"/>
    </xf>
    <xf numFmtId="0" fontId="0" fillId="3" borderId="0" xfId="0" applyFont="1" applyFill="1" applyAlignment="1">
      <alignment horizontal="left"/>
    </xf>
    <xf numFmtId="0" fontId="12" fillId="6" borderId="0"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2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24" xfId="0" applyFont="1" applyBorder="1" applyAlignment="1">
      <alignment horizontal="center" vertical="center"/>
    </xf>
    <xf numFmtId="0" fontId="6" fillId="0" borderId="0" xfId="0" applyFont="1" applyAlignment="1">
      <alignment horizontal="center" vertical="center"/>
    </xf>
    <xf numFmtId="0" fontId="12" fillId="6" borderId="0" xfId="0" applyFont="1" applyFill="1" applyBorder="1" applyAlignment="1" applyProtection="1">
      <alignment horizontal="center" vertical="center"/>
    </xf>
    <xf numFmtId="0" fontId="4" fillId="2" borderId="23" xfId="0" applyFont="1" applyFill="1" applyBorder="1" applyAlignment="1" applyProtection="1">
      <alignment horizontal="center" wrapText="1"/>
    </xf>
    <xf numFmtId="0" fontId="4" fillId="2" borderId="0" xfId="0" applyFont="1" applyFill="1" applyAlignment="1" applyProtection="1">
      <alignment horizontal="center" wrapText="1"/>
    </xf>
    <xf numFmtId="0" fontId="4" fillId="2" borderId="6" xfId="0" applyFont="1" applyFill="1" applyBorder="1" applyAlignment="1" applyProtection="1">
      <alignment horizontal="center" wrapText="1"/>
    </xf>
    <xf numFmtId="0" fontId="4" fillId="2" borderId="2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165" fontId="26" fillId="2" borderId="7" xfId="1" applyNumberFormat="1" applyFont="1" applyFill="1" applyBorder="1" applyAlignment="1" applyProtection="1">
      <alignment horizontal="center" vertical="center"/>
    </xf>
    <xf numFmtId="165" fontId="26" fillId="2" borderId="24" xfId="1" applyNumberFormat="1" applyFont="1" applyFill="1" applyBorder="1" applyAlignment="1" applyProtection="1">
      <alignment horizontal="center" vertical="center"/>
    </xf>
    <xf numFmtId="165" fontId="26" fillId="2" borderId="10" xfId="1" applyNumberFormat="1" applyFont="1" applyFill="1" applyBorder="1" applyAlignment="1" applyProtection="1">
      <alignment horizontal="center" vertical="center"/>
    </xf>
    <xf numFmtId="165" fontId="26" fillId="2" borderId="29" xfId="1" applyNumberFormat="1" applyFont="1" applyFill="1" applyBorder="1" applyAlignment="1" applyProtection="1">
      <alignment horizontal="center" vertical="center"/>
    </xf>
    <xf numFmtId="165" fontId="26" fillId="2" borderId="34" xfId="1" applyNumberFormat="1" applyFont="1" applyFill="1" applyBorder="1" applyAlignment="1" applyProtection="1">
      <alignment horizontal="center" vertical="center"/>
    </xf>
    <xf numFmtId="165" fontId="26" fillId="2" borderId="38" xfId="1" applyNumberFormat="1" applyFont="1" applyFill="1" applyBorder="1" applyAlignment="1" applyProtection="1">
      <alignment horizontal="center" vertical="center"/>
    </xf>
    <xf numFmtId="165" fontId="1" fillId="2" borderId="7" xfId="1" applyNumberFormat="1" applyFont="1" applyFill="1" applyBorder="1" applyAlignment="1" applyProtection="1">
      <alignment horizontal="center" vertical="center"/>
    </xf>
    <xf numFmtId="165" fontId="1" fillId="2" borderId="24" xfId="1" applyNumberFormat="1" applyFont="1" applyFill="1" applyBorder="1" applyAlignment="1" applyProtection="1">
      <alignment horizontal="center" vertical="center"/>
    </xf>
    <xf numFmtId="165" fontId="1" fillId="2" borderId="10" xfId="1" applyNumberFormat="1" applyFont="1" applyFill="1" applyBorder="1" applyAlignment="1" applyProtection="1">
      <alignment horizontal="center" vertical="center"/>
    </xf>
    <xf numFmtId="0" fontId="4" fillId="3" borderId="0" xfId="0" applyFont="1" applyFill="1" applyBorder="1" applyAlignment="1">
      <alignment horizontal="left" vertical="center"/>
    </xf>
    <xf numFmtId="0" fontId="4" fillId="3" borderId="0"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26" fillId="2" borderId="3"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21" fillId="3" borderId="0" xfId="2" applyFont="1" applyFill="1" applyAlignment="1">
      <alignment horizontal="left" vertical="center" wrapText="1"/>
    </xf>
    <xf numFmtId="0" fontId="21"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3" borderId="1" xfId="0" applyFont="1" applyFill="1" applyBorder="1" applyAlignment="1">
      <alignment horizontal="left" vertical="center"/>
    </xf>
    <xf numFmtId="0" fontId="14" fillId="3" borderId="0" xfId="0" applyFont="1" applyFill="1" applyAlignment="1">
      <alignment horizontal="center" wrapText="1"/>
    </xf>
    <xf numFmtId="0" fontId="15"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0" xfId="0" applyFont="1" applyFill="1" applyAlignment="1">
      <alignment horizontal="left" wrapText="1"/>
    </xf>
    <xf numFmtId="0" fontId="4" fillId="2" borderId="3"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0" fillId="2" borderId="12"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2" xfId="0" applyFill="1" applyBorder="1" applyAlignment="1" applyProtection="1">
      <alignment horizontal="left" vertical="center" wrapText="1"/>
      <protection locked="0"/>
    </xf>
    <xf numFmtId="0" fontId="0" fillId="2" borderId="13" xfId="0" applyFill="1" applyBorder="1" applyAlignment="1" applyProtection="1">
      <alignment horizontal="left" vertical="center" wrapText="1"/>
      <protection locked="0"/>
    </xf>
    <xf numFmtId="0" fontId="4" fillId="3" borderId="6" xfId="0" applyFont="1" applyFill="1" applyBorder="1" applyAlignment="1">
      <alignment horizontal="left" vertical="center"/>
    </xf>
    <xf numFmtId="0" fontId="0" fillId="2" borderId="14" xfId="0" applyFill="1" applyBorder="1" applyAlignment="1" applyProtection="1">
      <alignment horizontal="center" vertical="center" wrapText="1"/>
      <protection locked="0"/>
    </xf>
    <xf numFmtId="0" fontId="0" fillId="2" borderId="14" xfId="0" applyFill="1" applyBorder="1" applyAlignment="1" applyProtection="1">
      <alignment horizontal="left" vertical="center" wrapText="1"/>
      <protection locked="0"/>
    </xf>
    <xf numFmtId="3" fontId="4" fillId="3" borderId="0" xfId="0" applyNumberFormat="1" applyFont="1" applyFill="1" applyBorder="1" applyAlignment="1" applyProtection="1">
      <alignment horizontal="left" vertical="top" wrapText="1"/>
      <protection locked="0"/>
    </xf>
    <xf numFmtId="3" fontId="4" fillId="3" borderId="6" xfId="0" applyNumberFormat="1" applyFont="1" applyFill="1" applyBorder="1" applyAlignment="1" applyProtection="1">
      <alignment horizontal="left" vertical="top" wrapText="1"/>
      <protection locked="0"/>
    </xf>
    <xf numFmtId="0" fontId="0" fillId="2" borderId="3"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3" borderId="0" xfId="0" applyFill="1" applyAlignment="1">
      <alignment horizontal="left" vertical="center" wrapText="1"/>
    </xf>
    <xf numFmtId="0" fontId="22" fillId="3" borderId="0" xfId="0" applyFont="1" applyFill="1" applyAlignment="1">
      <alignment horizontal="left" vertical="center" wrapText="1"/>
    </xf>
    <xf numFmtId="0" fontId="15"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top" wrapText="1"/>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2" borderId="3" xfId="0" applyFont="1" applyFill="1" applyBorder="1" applyAlignment="1">
      <alignment horizontal="left" vertical="top"/>
    </xf>
    <xf numFmtId="0" fontId="4" fillId="2" borderId="5" xfId="0" applyFont="1" applyFill="1" applyBorder="1" applyAlignment="1">
      <alignment horizontal="left" vertical="top"/>
    </xf>
    <xf numFmtId="0" fontId="4" fillId="2" borderId="4" xfId="0" applyFont="1" applyFill="1" applyBorder="1" applyAlignment="1">
      <alignment horizontal="left" vertical="top"/>
    </xf>
    <xf numFmtId="0" fontId="22" fillId="3" borderId="6" xfId="0" applyFont="1" applyFill="1" applyBorder="1" applyAlignment="1">
      <alignment horizontal="left" vertical="center" wrapText="1"/>
    </xf>
  </cellXfs>
  <cellStyles count="3">
    <cellStyle name="Hyperkobling" xfId="2" builtinId="8"/>
    <cellStyle name="Normal" xfId="0" builtinId="0"/>
    <cellStyle name="Prosent" xfId="1" builtinId="5"/>
  </cellStyles>
  <dxfs count="17">
    <dxf>
      <font>
        <b val="0"/>
        <i val="0"/>
        <strike val="0"/>
      </font>
      <fill>
        <patternFill>
          <bgColor rgb="FFFF9999"/>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0"/>
        </patternFill>
      </fill>
      <border>
        <left/>
        <right/>
        <top/>
        <bottom style="thin">
          <color auto="1"/>
        </bottom>
        <vertical/>
        <horizontal/>
      </border>
    </dxf>
    <dxf>
      <border>
        <right style="thin">
          <color auto="1"/>
        </right>
        <vertical/>
        <horizontal/>
      </border>
    </dxf>
    <dxf>
      <border>
        <left style="thin">
          <color auto="1"/>
        </left>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border>
        <right style="thin">
          <color auto="1"/>
        </right>
        <vertical/>
        <horizontal/>
      </border>
    </dxf>
    <dxf>
      <border>
        <left style="thin">
          <color auto="1"/>
        </left>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3B3B"/>
      <color rgb="FFFF7C80"/>
      <color rgb="FFFF5050"/>
      <color rgb="FFFF8B8B"/>
      <color rgb="FFFF8585"/>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19049</xdr:rowOff>
    </xdr:from>
    <xdr:to>
      <xdr:col>1</xdr:col>
      <xdr:colOff>399600</xdr:colOff>
      <xdr:row>19</xdr:row>
      <xdr:rowOff>37649</xdr:rowOff>
    </xdr:to>
    <xdr:sp macro="" textlink="">
      <xdr:nvSpPr>
        <xdr:cNvPr id="2" name="Ellipse 1">
          <a:extLst>
            <a:ext uri="{FF2B5EF4-FFF2-40B4-BE49-F238E27FC236}">
              <a16:creationId xmlns:a16="http://schemas.microsoft.com/office/drawing/2014/main" id="{3AD4C33B-7884-4D20-BCAF-227E5B134978}"/>
            </a:ext>
          </a:extLst>
        </xdr:cNvPr>
        <xdr:cNvSpPr/>
      </xdr:nvSpPr>
      <xdr:spPr>
        <a:xfrm>
          <a:off x="762000" y="3619499"/>
          <a:ext cx="399600" cy="399600"/>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1</a:t>
          </a:r>
        </a:p>
      </xdr:txBody>
    </xdr:sp>
    <xdr:clientData/>
  </xdr:twoCellAnchor>
  <xdr:twoCellAnchor>
    <xdr:from>
      <xdr:col>1</xdr:col>
      <xdr:colOff>0</xdr:colOff>
      <xdr:row>27</xdr:row>
      <xdr:rowOff>171449</xdr:rowOff>
    </xdr:from>
    <xdr:to>
      <xdr:col>1</xdr:col>
      <xdr:colOff>399600</xdr:colOff>
      <xdr:row>29</xdr:row>
      <xdr:rowOff>190049</xdr:rowOff>
    </xdr:to>
    <xdr:sp macro="" textlink="">
      <xdr:nvSpPr>
        <xdr:cNvPr id="3" name="Ellipse 2">
          <a:extLst>
            <a:ext uri="{FF2B5EF4-FFF2-40B4-BE49-F238E27FC236}">
              <a16:creationId xmlns:a16="http://schemas.microsoft.com/office/drawing/2014/main" id="{29043B26-FCE4-41E7-86EB-CEAE7E7FED88}"/>
            </a:ext>
          </a:extLst>
        </xdr:cNvPr>
        <xdr:cNvSpPr/>
      </xdr:nvSpPr>
      <xdr:spPr>
        <a:xfrm>
          <a:off x="762000" y="5781674"/>
          <a:ext cx="399600" cy="399600"/>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2</a:t>
          </a:r>
        </a:p>
      </xdr:txBody>
    </xdr:sp>
    <xdr:clientData/>
  </xdr:twoCellAnchor>
  <xdr:twoCellAnchor>
    <xdr:from>
      <xdr:col>1</xdr:col>
      <xdr:colOff>0</xdr:colOff>
      <xdr:row>46</xdr:row>
      <xdr:rowOff>104775</xdr:rowOff>
    </xdr:from>
    <xdr:to>
      <xdr:col>1</xdr:col>
      <xdr:colOff>399600</xdr:colOff>
      <xdr:row>48</xdr:row>
      <xdr:rowOff>124537</xdr:rowOff>
    </xdr:to>
    <xdr:sp macro="" textlink="">
      <xdr:nvSpPr>
        <xdr:cNvPr id="4" name="Ellipse 3">
          <a:extLst>
            <a:ext uri="{FF2B5EF4-FFF2-40B4-BE49-F238E27FC236}">
              <a16:creationId xmlns:a16="http://schemas.microsoft.com/office/drawing/2014/main" id="{DD4BDD4B-22E7-44C5-8446-856AE4EBAFA4}"/>
            </a:ext>
          </a:extLst>
        </xdr:cNvPr>
        <xdr:cNvSpPr/>
      </xdr:nvSpPr>
      <xdr:spPr>
        <a:xfrm>
          <a:off x="762000" y="9591675"/>
          <a:ext cx="399600" cy="400762"/>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3</a:t>
          </a:r>
        </a:p>
      </xdr:txBody>
    </xdr:sp>
    <xdr:clientData/>
  </xdr:twoCellAnchor>
  <xdr:twoCellAnchor>
    <xdr:from>
      <xdr:col>1</xdr:col>
      <xdr:colOff>191137</xdr:colOff>
      <xdr:row>19</xdr:row>
      <xdr:rowOff>37649</xdr:rowOff>
    </xdr:from>
    <xdr:to>
      <xdr:col>1</xdr:col>
      <xdr:colOff>199800</xdr:colOff>
      <xdr:row>27</xdr:row>
      <xdr:rowOff>171449</xdr:rowOff>
    </xdr:to>
    <xdr:cxnSp macro="">
      <xdr:nvCxnSpPr>
        <xdr:cNvPr id="6" name="Rett linje 5">
          <a:extLst>
            <a:ext uri="{FF2B5EF4-FFF2-40B4-BE49-F238E27FC236}">
              <a16:creationId xmlns:a16="http://schemas.microsoft.com/office/drawing/2014/main" id="{808D6D42-DB14-4C19-B6A1-AD59901EF4D1}"/>
            </a:ext>
          </a:extLst>
        </xdr:cNvPr>
        <xdr:cNvCxnSpPr>
          <a:stCxn id="2" idx="4"/>
        </xdr:cNvCxnSpPr>
      </xdr:nvCxnSpPr>
      <xdr:spPr>
        <a:xfrm flipH="1">
          <a:off x="953137" y="4019099"/>
          <a:ext cx="8663" cy="1762575"/>
        </a:xfrm>
        <a:prstGeom prst="line">
          <a:avLst/>
        </a:prstGeom>
        <a:ln>
          <a:solidFill>
            <a:srgbClr val="FF3B3B"/>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191136</xdr:colOff>
      <xdr:row>29</xdr:row>
      <xdr:rowOff>190049</xdr:rowOff>
    </xdr:from>
    <xdr:to>
      <xdr:col>1</xdr:col>
      <xdr:colOff>199800</xdr:colOff>
      <xdr:row>46</xdr:row>
      <xdr:rowOff>104775</xdr:rowOff>
    </xdr:to>
    <xdr:cxnSp macro="">
      <xdr:nvCxnSpPr>
        <xdr:cNvPr id="7" name="Rett linje 6">
          <a:extLst>
            <a:ext uri="{FF2B5EF4-FFF2-40B4-BE49-F238E27FC236}">
              <a16:creationId xmlns:a16="http://schemas.microsoft.com/office/drawing/2014/main" id="{94600617-5951-4461-A2E4-A16FE490F88B}"/>
            </a:ext>
          </a:extLst>
        </xdr:cNvPr>
        <xdr:cNvCxnSpPr>
          <a:stCxn id="3" idx="4"/>
        </xdr:cNvCxnSpPr>
      </xdr:nvCxnSpPr>
      <xdr:spPr>
        <a:xfrm flipH="1">
          <a:off x="953136" y="6181274"/>
          <a:ext cx="8664" cy="3410401"/>
        </a:xfrm>
        <a:prstGeom prst="line">
          <a:avLst/>
        </a:prstGeom>
        <a:ln>
          <a:solidFill>
            <a:srgbClr val="FF3B3B"/>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733425</xdr:colOff>
      <xdr:row>63</xdr:row>
      <xdr:rowOff>142875</xdr:rowOff>
    </xdr:from>
    <xdr:to>
      <xdr:col>8</xdr:col>
      <xdr:colOff>238125</xdr:colOff>
      <xdr:row>63</xdr:row>
      <xdr:rowOff>142875</xdr:rowOff>
    </xdr:to>
    <xdr:cxnSp macro="">
      <xdr:nvCxnSpPr>
        <xdr:cNvPr id="11" name="Rett pilkobling 10">
          <a:extLst>
            <a:ext uri="{FF2B5EF4-FFF2-40B4-BE49-F238E27FC236}">
              <a16:creationId xmlns:a16="http://schemas.microsoft.com/office/drawing/2014/main" id="{42F102F2-164D-4A7D-B7B3-92BB3C754A6C}"/>
            </a:ext>
          </a:extLst>
        </xdr:cNvPr>
        <xdr:cNvCxnSpPr/>
      </xdr:nvCxnSpPr>
      <xdr:spPr>
        <a:xfrm flipV="1">
          <a:off x="3324225" y="13211175"/>
          <a:ext cx="4371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63</xdr:row>
      <xdr:rowOff>28576</xdr:rowOff>
    </xdr:from>
    <xdr:to>
      <xdr:col>3</xdr:col>
      <xdr:colOff>733425</xdr:colOff>
      <xdr:row>63</xdr:row>
      <xdr:rowOff>257176</xdr:rowOff>
    </xdr:to>
    <xdr:sp macro="" textlink="">
      <xdr:nvSpPr>
        <xdr:cNvPr id="13" name="Rektangel 12">
          <a:extLst>
            <a:ext uri="{FF2B5EF4-FFF2-40B4-BE49-F238E27FC236}">
              <a16:creationId xmlns:a16="http://schemas.microsoft.com/office/drawing/2014/main" id="{D3D8ED36-B57E-4565-A2DB-2BA532ED4F90}"/>
            </a:ext>
          </a:extLst>
        </xdr:cNvPr>
        <xdr:cNvSpPr/>
      </xdr:nvSpPr>
      <xdr:spPr>
        <a:xfrm>
          <a:off x="2486025" y="13096876"/>
          <a:ext cx="838200" cy="228600"/>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3</xdr:col>
      <xdr:colOff>762000</xdr:colOff>
      <xdr:row>65</xdr:row>
      <xdr:rowOff>152400</xdr:rowOff>
    </xdr:from>
    <xdr:to>
      <xdr:col>7</xdr:col>
      <xdr:colOff>148575</xdr:colOff>
      <xdr:row>65</xdr:row>
      <xdr:rowOff>152400</xdr:rowOff>
    </xdr:to>
    <xdr:cxnSp macro="">
      <xdr:nvCxnSpPr>
        <xdr:cNvPr id="16" name="Rett pilkobling 15">
          <a:extLst>
            <a:ext uri="{FF2B5EF4-FFF2-40B4-BE49-F238E27FC236}">
              <a16:creationId xmlns:a16="http://schemas.microsoft.com/office/drawing/2014/main" id="{7B7D87A5-AE5F-49C5-9272-2233DA0DAEEB}"/>
            </a:ext>
          </a:extLst>
        </xdr:cNvPr>
        <xdr:cNvCxnSpPr/>
      </xdr:nvCxnSpPr>
      <xdr:spPr>
        <a:xfrm flipV="1">
          <a:off x="3352800" y="13773150"/>
          <a:ext cx="3168000" cy="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228600</xdr:colOff>
      <xdr:row>65</xdr:row>
      <xdr:rowOff>38101</xdr:rowOff>
    </xdr:from>
    <xdr:to>
      <xdr:col>3</xdr:col>
      <xdr:colOff>762000</xdr:colOff>
      <xdr:row>65</xdr:row>
      <xdr:rowOff>266701</xdr:rowOff>
    </xdr:to>
    <xdr:sp macro="" textlink="">
      <xdr:nvSpPr>
        <xdr:cNvPr id="17" name="Rektangel 16">
          <a:extLst>
            <a:ext uri="{FF2B5EF4-FFF2-40B4-BE49-F238E27FC236}">
              <a16:creationId xmlns:a16="http://schemas.microsoft.com/office/drawing/2014/main" id="{47D4A783-6982-4DDE-AB5C-DE22B1F282BC}"/>
            </a:ext>
          </a:extLst>
        </xdr:cNvPr>
        <xdr:cNvSpPr/>
      </xdr:nvSpPr>
      <xdr:spPr>
        <a:xfrm>
          <a:off x="2514600" y="13658851"/>
          <a:ext cx="838200" cy="228600"/>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0</xdr:colOff>
      <xdr:row>84</xdr:row>
      <xdr:rowOff>47625</xdr:rowOff>
    </xdr:from>
    <xdr:to>
      <xdr:col>1</xdr:col>
      <xdr:colOff>399600</xdr:colOff>
      <xdr:row>86</xdr:row>
      <xdr:rowOff>86437</xdr:rowOff>
    </xdr:to>
    <xdr:sp macro="" textlink="">
      <xdr:nvSpPr>
        <xdr:cNvPr id="18" name="Ellipse 17">
          <a:extLst>
            <a:ext uri="{FF2B5EF4-FFF2-40B4-BE49-F238E27FC236}">
              <a16:creationId xmlns:a16="http://schemas.microsoft.com/office/drawing/2014/main" id="{4E1633A5-5665-4512-9BCF-C08B1CBDBB0C}"/>
            </a:ext>
          </a:extLst>
        </xdr:cNvPr>
        <xdr:cNvSpPr/>
      </xdr:nvSpPr>
      <xdr:spPr>
        <a:xfrm>
          <a:off x="762000" y="17345025"/>
          <a:ext cx="399600" cy="400762"/>
        </a:xfrm>
        <a:prstGeom prst="ellipse">
          <a:avLst/>
        </a:prstGeom>
        <a:solidFill>
          <a:schemeClr val="bg1"/>
        </a:solidFill>
        <a:ln w="28575">
          <a:solidFill>
            <a:srgbClr val="FF3B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b="1">
              <a:solidFill>
                <a:srgbClr val="FF0000"/>
              </a:solidFill>
            </a:rPr>
            <a:t>4</a:t>
          </a:r>
        </a:p>
      </xdr:txBody>
    </xdr:sp>
    <xdr:clientData/>
  </xdr:twoCellAnchor>
  <xdr:twoCellAnchor>
    <xdr:from>
      <xdr:col>1</xdr:col>
      <xdr:colOff>191136</xdr:colOff>
      <xdr:row>48</xdr:row>
      <xdr:rowOff>144148</xdr:rowOff>
    </xdr:from>
    <xdr:to>
      <xdr:col>1</xdr:col>
      <xdr:colOff>191136</xdr:colOff>
      <xdr:row>84</xdr:row>
      <xdr:rowOff>22648</xdr:rowOff>
    </xdr:to>
    <xdr:cxnSp macro="">
      <xdr:nvCxnSpPr>
        <xdr:cNvPr id="19" name="Rett linje 18">
          <a:extLst>
            <a:ext uri="{FF2B5EF4-FFF2-40B4-BE49-F238E27FC236}">
              <a16:creationId xmlns:a16="http://schemas.microsoft.com/office/drawing/2014/main" id="{414724F4-1F6C-4FC7-8745-F28B80495088}"/>
            </a:ext>
          </a:extLst>
        </xdr:cNvPr>
        <xdr:cNvCxnSpPr/>
      </xdr:nvCxnSpPr>
      <xdr:spPr>
        <a:xfrm flipH="1">
          <a:off x="953136" y="10012048"/>
          <a:ext cx="0" cy="7308000"/>
        </a:xfrm>
        <a:prstGeom prst="line">
          <a:avLst/>
        </a:prstGeom>
        <a:ln>
          <a:solidFill>
            <a:srgbClr val="FF3B3B"/>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428625</xdr:colOff>
      <xdr:row>11</xdr:row>
      <xdr:rowOff>161925</xdr:rowOff>
    </xdr:from>
    <xdr:to>
      <xdr:col>4</xdr:col>
      <xdr:colOff>932625</xdr:colOff>
      <xdr:row>14</xdr:row>
      <xdr:rowOff>85725</xdr:rowOff>
    </xdr:to>
    <xdr:sp macro="" textlink="">
      <xdr:nvSpPr>
        <xdr:cNvPr id="2" name="Pil: opp 1">
          <a:extLst>
            <a:ext uri="{FF2B5EF4-FFF2-40B4-BE49-F238E27FC236}">
              <a16:creationId xmlns:a16="http://schemas.microsoft.com/office/drawing/2014/main" id="{AF7FB449-9090-4289-AB30-594C6BB48A62}"/>
            </a:ext>
          </a:extLst>
        </xdr:cNvPr>
        <xdr:cNvSpPr/>
      </xdr:nvSpPr>
      <xdr:spPr>
        <a:xfrm>
          <a:off x="4476750" y="3324225"/>
          <a:ext cx="504000" cy="466725"/>
        </a:xfrm>
        <a:prstGeom prs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b-NO" sz="1100"/>
        </a:p>
      </xdr:txBody>
    </xdr:sp>
    <xdr:clientData/>
  </xdr:twoCellAnchor>
  <xdr:twoCellAnchor>
    <xdr:from>
      <xdr:col>4</xdr:col>
      <xdr:colOff>447675</xdr:colOff>
      <xdr:row>23</xdr:row>
      <xdr:rowOff>95250</xdr:rowOff>
    </xdr:from>
    <xdr:to>
      <xdr:col>4</xdr:col>
      <xdr:colOff>951675</xdr:colOff>
      <xdr:row>26</xdr:row>
      <xdr:rowOff>29850</xdr:rowOff>
    </xdr:to>
    <xdr:sp macro="" textlink="">
      <xdr:nvSpPr>
        <xdr:cNvPr id="3" name="Pil: ned 2">
          <a:extLst>
            <a:ext uri="{FF2B5EF4-FFF2-40B4-BE49-F238E27FC236}">
              <a16:creationId xmlns:a16="http://schemas.microsoft.com/office/drawing/2014/main" id="{A5B77EB2-7482-4238-93AF-B7C7E41D1AC6}"/>
            </a:ext>
          </a:extLst>
        </xdr:cNvPr>
        <xdr:cNvSpPr/>
      </xdr:nvSpPr>
      <xdr:spPr>
        <a:xfrm>
          <a:off x="4495800" y="5543550"/>
          <a:ext cx="504000" cy="4775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514349</xdr:colOff>
      <xdr:row>0</xdr:row>
      <xdr:rowOff>0</xdr:rowOff>
    </xdr:from>
    <xdr:to>
      <xdr:col>1</xdr:col>
      <xdr:colOff>1466779</xdr:colOff>
      <xdr:row>0</xdr:row>
      <xdr:rowOff>733424</xdr:rowOff>
    </xdr:to>
    <xdr:pic>
      <xdr:nvPicPr>
        <xdr:cNvPr id="3" name="Bilde 2">
          <a:extLst>
            <a:ext uri="{FF2B5EF4-FFF2-40B4-BE49-F238E27FC236}">
              <a16:creationId xmlns:a16="http://schemas.microsoft.com/office/drawing/2014/main" id="{3197941E-3F9A-41C1-8033-3CB3F45EB5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0"/>
          <a:ext cx="1462018" cy="7334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1</xdr:col>
      <xdr:colOff>1390580</xdr:colOff>
      <xdr:row>1</xdr:row>
      <xdr:rowOff>9524</xdr:rowOff>
    </xdr:to>
    <xdr:pic>
      <xdr:nvPicPr>
        <xdr:cNvPr id="4" name="Bilde 3">
          <a:extLst>
            <a:ext uri="{FF2B5EF4-FFF2-40B4-BE49-F238E27FC236}">
              <a16:creationId xmlns:a16="http://schemas.microsoft.com/office/drawing/2014/main" id="{FF3C138B-158C-44CF-9834-DAE7A09EC9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57150"/>
          <a:ext cx="1466780" cy="733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x01\Downloads\beregningsmodell-inkl-spesifikasjoner-og-kontrollhanldinger---kompensasjonsordning-2---ver.-11.03.2021%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gningsmodell"/>
      <sheetName val="Kontrollhandlinger"/>
      <sheetName val="Rullgardin"/>
    </sheetNames>
    <sheetDataSet>
      <sheetData sheetId="0">
        <row r="27">
          <cell r="B27" t="str">
            <v>Mangler foretaket omsetningstall for tilsvarende periode året før (pga ingen omsetning og/eller restrukturering)?</v>
          </cell>
        </row>
        <row r="39">
          <cell r="B39" t="str">
            <v>Vennligst angi hvor mye foretaket allerede har mottatt i økonomisk støtte?</v>
          </cell>
        </row>
        <row r="129">
          <cell r="B129" t="str">
            <v>Vennligst angi gjennomsnittlig ordinært resultat før skatt per måned i perioden jan. og feb. 2020 (NB bruk minustegn ved underskudd)</v>
          </cell>
        </row>
      </sheetData>
      <sheetData sheetId="1"/>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44FB-08F3-4893-BF54-DD5889EA4ED9}">
  <dimension ref="C3:I100"/>
  <sheetViews>
    <sheetView showGridLines="0" workbookViewId="0"/>
  </sheetViews>
  <sheetFormatPr baseColWidth="10" defaultRowHeight="14.25" x14ac:dyDescent="0.45"/>
  <cols>
    <col min="3" max="3" width="4.265625" customWidth="1"/>
    <col min="4" max="4" width="13" customWidth="1"/>
    <col min="5" max="5" width="15" customWidth="1"/>
    <col min="6" max="6" width="14" customWidth="1"/>
    <col min="7" max="9" width="15.1328125" customWidth="1"/>
  </cols>
  <sheetData>
    <row r="3" spans="3:4" ht="21" x14ac:dyDescent="0.65">
      <c r="C3" s="283" t="s">
        <v>314</v>
      </c>
    </row>
    <row r="5" spans="3:4" ht="18" customHeight="1" x14ac:dyDescent="0.45">
      <c r="C5" s="280" t="s">
        <v>284</v>
      </c>
      <c r="D5" s="280"/>
    </row>
    <row r="6" spans="3:4" ht="18" customHeight="1" x14ac:dyDescent="0.45">
      <c r="C6" s="280" t="s">
        <v>278</v>
      </c>
      <c r="D6" s="280"/>
    </row>
    <row r="7" spans="3:4" ht="18" customHeight="1" x14ac:dyDescent="0.45">
      <c r="C7" s="280" t="s">
        <v>279</v>
      </c>
      <c r="D7" s="280"/>
    </row>
    <row r="8" spans="3:4" ht="18" customHeight="1" x14ac:dyDescent="0.45">
      <c r="C8" s="280" t="s">
        <v>315</v>
      </c>
      <c r="D8" s="280"/>
    </row>
    <row r="9" spans="3:4" ht="18" customHeight="1" x14ac:dyDescent="0.45">
      <c r="C9" s="280" t="s">
        <v>316</v>
      </c>
      <c r="D9" s="280"/>
    </row>
    <row r="11" spans="3:4" s="102" customFormat="1" ht="18" x14ac:dyDescent="0.55000000000000004">
      <c r="C11" s="279" t="s">
        <v>280</v>
      </c>
    </row>
    <row r="12" spans="3:4" ht="6" customHeight="1" x14ac:dyDescent="0.45"/>
    <row r="13" spans="3:4" s="280" customFormat="1" ht="21" customHeight="1" x14ac:dyDescent="0.45">
      <c r="D13" s="280" t="s">
        <v>296</v>
      </c>
    </row>
    <row r="14" spans="3:4" ht="21" customHeight="1" x14ac:dyDescent="0.45">
      <c r="D14" s="280" t="s">
        <v>281</v>
      </c>
    </row>
    <row r="15" spans="3:4" ht="21" customHeight="1" x14ac:dyDescent="0.45">
      <c r="D15" s="280" t="s">
        <v>297</v>
      </c>
    </row>
    <row r="18" spans="3:4" ht="15.75" x14ac:dyDescent="0.5">
      <c r="C18" s="102" t="s">
        <v>282</v>
      </c>
    </row>
    <row r="19" spans="3:4" x14ac:dyDescent="0.45">
      <c r="C19" t="s">
        <v>294</v>
      </c>
    </row>
    <row r="20" spans="3:4" ht="19.5" customHeight="1" x14ac:dyDescent="0.45">
      <c r="D20" s="281" t="s">
        <v>275</v>
      </c>
    </row>
    <row r="21" spans="3:4" ht="16.5" customHeight="1" x14ac:dyDescent="0.45">
      <c r="D21" s="281" t="s">
        <v>276</v>
      </c>
    </row>
    <row r="22" spans="3:4" ht="16.5" customHeight="1" x14ac:dyDescent="0.45">
      <c r="D22" s="281" t="s">
        <v>277</v>
      </c>
    </row>
    <row r="23" spans="3:4" ht="16.5" customHeight="1" x14ac:dyDescent="0.45">
      <c r="D23" s="281" t="s">
        <v>295</v>
      </c>
    </row>
    <row r="24" spans="3:4" ht="16.5" customHeight="1" x14ac:dyDescent="0.45">
      <c r="D24" s="281" t="s">
        <v>288</v>
      </c>
    </row>
    <row r="26" spans="3:4" x14ac:dyDescent="0.45">
      <c r="C26" t="s">
        <v>289</v>
      </c>
    </row>
    <row r="29" spans="3:4" ht="15.75" x14ac:dyDescent="0.5">
      <c r="C29" s="102" t="s">
        <v>283</v>
      </c>
    </row>
    <row r="30" spans="3:4" ht="20.25" customHeight="1" x14ac:dyDescent="0.45">
      <c r="C30" t="s">
        <v>285</v>
      </c>
    </row>
    <row r="31" spans="3:4" x14ac:dyDescent="0.45">
      <c r="C31" t="s">
        <v>286</v>
      </c>
    </row>
    <row r="33" spans="3:4" ht="18.95" customHeight="1" x14ac:dyDescent="0.45">
      <c r="D33" s="281" t="s">
        <v>275</v>
      </c>
    </row>
    <row r="34" spans="3:4" ht="18.95" customHeight="1" x14ac:dyDescent="0.45">
      <c r="D34" s="281" t="s">
        <v>276</v>
      </c>
    </row>
    <row r="35" spans="3:4" ht="18.95" customHeight="1" x14ac:dyDescent="0.45">
      <c r="D35" s="281" t="s">
        <v>287</v>
      </c>
    </row>
    <row r="36" spans="3:4" ht="18.95" customHeight="1" x14ac:dyDescent="0.45">
      <c r="D36" s="281" t="s">
        <v>277</v>
      </c>
    </row>
    <row r="37" spans="3:4" ht="18.95" customHeight="1" x14ac:dyDescent="0.45">
      <c r="D37" s="281" t="s">
        <v>340</v>
      </c>
    </row>
    <row r="38" spans="3:4" ht="18.75" customHeight="1" x14ac:dyDescent="0.45">
      <c r="D38" s="281" t="s">
        <v>288</v>
      </c>
    </row>
    <row r="40" spans="3:4" x14ac:dyDescent="0.45">
      <c r="C40" t="s">
        <v>290</v>
      </c>
    </row>
    <row r="41" spans="3:4" x14ac:dyDescent="0.45">
      <c r="C41" t="s">
        <v>291</v>
      </c>
    </row>
    <row r="42" spans="3:4" x14ac:dyDescent="0.45">
      <c r="C42" t="s">
        <v>341</v>
      </c>
    </row>
    <row r="43" spans="3:4" x14ac:dyDescent="0.45">
      <c r="C43" s="282"/>
    </row>
    <row r="44" spans="3:4" x14ac:dyDescent="0.45">
      <c r="C44" t="s">
        <v>292</v>
      </c>
    </row>
    <row r="48" spans="3:4" ht="15.75" x14ac:dyDescent="0.5">
      <c r="C48" s="102" t="s">
        <v>293</v>
      </c>
      <c r="D48" s="284"/>
    </row>
    <row r="49" spans="3:9" x14ac:dyDescent="0.45">
      <c r="C49" t="s">
        <v>342</v>
      </c>
    </row>
    <row r="50" spans="3:9" x14ac:dyDescent="0.45">
      <c r="C50" t="s">
        <v>298</v>
      </c>
    </row>
    <row r="52" spans="3:9" x14ac:dyDescent="0.45">
      <c r="C52" t="s">
        <v>299</v>
      </c>
    </row>
    <row r="54" spans="3:9" ht="18.95" customHeight="1" x14ac:dyDescent="0.45">
      <c r="C54" s="281" t="s">
        <v>275</v>
      </c>
    </row>
    <row r="55" spans="3:9" ht="18.95" customHeight="1" x14ac:dyDescent="0.45">
      <c r="C55" s="281" t="s">
        <v>276</v>
      </c>
    </row>
    <row r="56" spans="3:9" ht="18.95" customHeight="1" x14ac:dyDescent="0.45">
      <c r="C56" s="281" t="s">
        <v>317</v>
      </c>
    </row>
    <row r="58" spans="3:9" x14ac:dyDescent="0.45">
      <c r="C58" s="285" t="s">
        <v>343</v>
      </c>
    </row>
    <row r="59" spans="3:9" x14ac:dyDescent="0.45">
      <c r="C59" s="285" t="s">
        <v>300</v>
      </c>
    </row>
    <row r="60" spans="3:9" x14ac:dyDescent="0.45">
      <c r="C60" s="285"/>
    </row>
    <row r="62" spans="3:9" ht="35.25" customHeight="1" x14ac:dyDescent="0.45">
      <c r="E62" s="95"/>
      <c r="F62" s="95"/>
      <c r="G62" s="434" t="s">
        <v>120</v>
      </c>
      <c r="H62" s="435"/>
      <c r="I62" s="436"/>
    </row>
    <row r="63" spans="3:9" ht="18" customHeight="1" x14ac:dyDescent="0.45">
      <c r="D63" s="105" t="s">
        <v>124</v>
      </c>
      <c r="E63" s="106" t="s">
        <v>125</v>
      </c>
      <c r="F63" s="106" t="s">
        <v>126</v>
      </c>
      <c r="G63" s="107" t="s">
        <v>127</v>
      </c>
      <c r="H63" s="108" t="s">
        <v>128</v>
      </c>
      <c r="I63" s="288" t="s">
        <v>129</v>
      </c>
    </row>
    <row r="64" spans="3:9" ht="21.95" customHeight="1" x14ac:dyDescent="0.45">
      <c r="D64" s="286" t="s">
        <v>127</v>
      </c>
      <c r="E64" s="111">
        <v>987654321</v>
      </c>
      <c r="F64" s="112">
        <v>0.1</v>
      </c>
      <c r="G64" s="276"/>
      <c r="H64" s="241"/>
      <c r="I64" s="287">
        <v>0.45</v>
      </c>
    </row>
    <row r="65" spans="3:9" ht="21.95" customHeight="1" x14ac:dyDescent="0.45">
      <c r="D65" s="116" t="s">
        <v>128</v>
      </c>
      <c r="E65" s="117">
        <v>876543219</v>
      </c>
      <c r="F65" s="118">
        <v>0.15</v>
      </c>
      <c r="G65" s="242"/>
      <c r="H65" s="277"/>
      <c r="I65" s="243"/>
    </row>
    <row r="66" spans="3:9" ht="21.95" customHeight="1" x14ac:dyDescent="0.45">
      <c r="D66" s="119" t="s">
        <v>129</v>
      </c>
      <c r="E66" s="120">
        <v>765432198</v>
      </c>
      <c r="F66" s="121">
        <v>0.1</v>
      </c>
      <c r="G66" s="244"/>
      <c r="H66" s="289">
        <v>0.75</v>
      </c>
      <c r="I66" s="278"/>
    </row>
    <row r="69" spans="3:9" x14ac:dyDescent="0.45">
      <c r="C69" t="s">
        <v>309</v>
      </c>
    </row>
    <row r="71" spans="3:9" x14ac:dyDescent="0.45">
      <c r="C71" t="s">
        <v>301</v>
      </c>
    </row>
    <row r="72" spans="3:9" x14ac:dyDescent="0.45">
      <c r="C72" t="s">
        <v>302</v>
      </c>
    </row>
    <row r="73" spans="3:9" x14ac:dyDescent="0.45">
      <c r="C73" t="s">
        <v>303</v>
      </c>
    </row>
    <row r="74" spans="3:9" x14ac:dyDescent="0.45">
      <c r="C74" t="s">
        <v>304</v>
      </c>
    </row>
    <row r="76" spans="3:9" x14ac:dyDescent="0.45">
      <c r="C76" t="s">
        <v>305</v>
      </c>
    </row>
    <row r="78" spans="3:9" x14ac:dyDescent="0.45">
      <c r="C78" t="s">
        <v>306</v>
      </c>
    </row>
    <row r="80" spans="3:9" s="280" customFormat="1" ht="18" customHeight="1" x14ac:dyDescent="0.45">
      <c r="D80" s="280" t="s">
        <v>307</v>
      </c>
    </row>
    <row r="81" spans="3:8" s="280" customFormat="1" ht="18" customHeight="1" x14ac:dyDescent="0.45">
      <c r="D81" s="280" t="s">
        <v>308</v>
      </c>
    </row>
    <row r="82" spans="3:8" s="280" customFormat="1" ht="18" customHeight="1" x14ac:dyDescent="0.45">
      <c r="D82" s="280" t="s">
        <v>288</v>
      </c>
    </row>
    <row r="85" spans="3:8" ht="15.75" x14ac:dyDescent="0.5">
      <c r="C85" s="102" t="s">
        <v>310</v>
      </c>
    </row>
    <row r="87" spans="3:8" x14ac:dyDescent="0.45">
      <c r="C87" t="s">
        <v>311</v>
      </c>
    </row>
    <row r="88" spans="3:8" x14ac:dyDescent="0.45">
      <c r="C88" t="s">
        <v>312</v>
      </c>
    </row>
    <row r="90" spans="3:8" x14ac:dyDescent="0.45">
      <c r="C90" t="s">
        <v>313</v>
      </c>
    </row>
    <row r="92" spans="3:8" ht="14.65" thickBot="1" x14ac:dyDescent="0.5"/>
    <row r="93" spans="3:8" x14ac:dyDescent="0.45">
      <c r="D93" s="143"/>
      <c r="E93" s="144"/>
      <c r="F93" s="144"/>
      <c r="G93" s="144"/>
      <c r="H93" s="145"/>
    </row>
    <row r="94" spans="3:8" ht="18" x14ac:dyDescent="0.55000000000000004">
      <c r="D94" s="146"/>
      <c r="E94" s="155" t="s">
        <v>148</v>
      </c>
      <c r="F94" s="147"/>
      <c r="G94" s="147"/>
      <c r="H94" s="148"/>
    </row>
    <row r="95" spans="3:8" x14ac:dyDescent="0.45">
      <c r="D95" s="146"/>
      <c r="E95" s="147"/>
      <c r="F95" s="147"/>
      <c r="G95" s="147"/>
      <c r="H95" s="148"/>
    </row>
    <row r="96" spans="3:8" x14ac:dyDescent="0.45">
      <c r="D96" s="149"/>
      <c r="E96" s="140" t="s">
        <v>131</v>
      </c>
      <c r="F96" s="141" t="s">
        <v>132</v>
      </c>
      <c r="G96" s="141" t="s">
        <v>133</v>
      </c>
      <c r="H96" s="156"/>
    </row>
    <row r="97" spans="4:8" x14ac:dyDescent="0.45">
      <c r="D97" s="150"/>
      <c r="E97" s="142">
        <v>5925000</v>
      </c>
      <c r="F97" s="151">
        <v>8</v>
      </c>
      <c r="G97" s="151">
        <v>3550000</v>
      </c>
      <c r="H97" s="156"/>
    </row>
    <row r="98" spans="4:8" x14ac:dyDescent="0.45">
      <c r="D98" s="146"/>
      <c r="E98" s="147"/>
      <c r="F98" s="147"/>
      <c r="G98" s="147"/>
      <c r="H98" s="148"/>
    </row>
    <row r="99" spans="4:8" ht="15.75" x14ac:dyDescent="0.45">
      <c r="D99" s="146"/>
      <c r="E99" s="159" t="s">
        <v>156</v>
      </c>
      <c r="F99" s="433" t="s">
        <v>151</v>
      </c>
      <c r="G99" s="433"/>
      <c r="H99" s="148"/>
    </row>
    <row r="100" spans="4:8" ht="14.65" thickBot="1" x14ac:dyDescent="0.5">
      <c r="D100" s="152"/>
      <c r="E100" s="153"/>
      <c r="F100" s="153"/>
      <c r="G100" s="153"/>
      <c r="H100" s="154"/>
    </row>
  </sheetData>
  <sheetProtection sheet="1" objects="1" scenarios="1"/>
  <mergeCells count="2">
    <mergeCell ref="F99:G99"/>
    <mergeCell ref="G62:I6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F945-B05B-409D-9C75-852ECBF27E1D}">
  <dimension ref="B2:U40"/>
  <sheetViews>
    <sheetView showGridLines="0" workbookViewId="0">
      <selection activeCell="C20" sqref="C20"/>
    </sheetView>
  </sheetViews>
  <sheetFormatPr baseColWidth="10" defaultRowHeight="14.25" x14ac:dyDescent="0.45"/>
  <cols>
    <col min="1" max="1" width="7" customWidth="1"/>
    <col min="2" max="2" width="3.59765625" customWidth="1"/>
    <col min="3" max="3" width="26.86328125" customWidth="1"/>
    <col min="4" max="4" width="15.59765625" style="95" customWidth="1"/>
    <col min="5" max="5" width="17.86328125" style="95" customWidth="1"/>
    <col min="6" max="10" width="15.59765625" style="95" customWidth="1"/>
    <col min="11" max="13" width="15.59765625" customWidth="1"/>
    <col min="14" max="17" width="15.73046875" customWidth="1"/>
    <col min="18" max="20" width="13.73046875" customWidth="1"/>
  </cols>
  <sheetData>
    <row r="2" spans="2:21" ht="14.65" thickBot="1" x14ac:dyDescent="0.5"/>
    <row r="3" spans="2:21" ht="30" customHeight="1" x14ac:dyDescent="0.45">
      <c r="B3" s="96"/>
      <c r="C3" s="97" t="s">
        <v>118</v>
      </c>
      <c r="D3" s="98"/>
      <c r="E3" s="98"/>
      <c r="F3" s="98"/>
      <c r="G3" s="98"/>
      <c r="H3" s="98"/>
      <c r="I3" s="98"/>
      <c r="J3" s="98"/>
      <c r="K3" s="99"/>
      <c r="L3" s="99"/>
      <c r="M3" s="99"/>
      <c r="N3" s="99"/>
      <c r="O3" s="99"/>
      <c r="P3" s="99"/>
      <c r="Q3" s="99"/>
      <c r="R3" s="99"/>
      <c r="S3" s="99"/>
      <c r="T3" s="99"/>
      <c r="U3" s="100"/>
    </row>
    <row r="4" spans="2:21" ht="15.75" x14ac:dyDescent="0.5">
      <c r="B4" s="101"/>
      <c r="C4" s="102" t="s">
        <v>119</v>
      </c>
      <c r="U4" s="103"/>
    </row>
    <row r="5" spans="2:21" ht="37.5" customHeight="1" x14ac:dyDescent="0.45">
      <c r="B5" s="101"/>
      <c r="F5" s="442" t="s">
        <v>120</v>
      </c>
      <c r="G5" s="443"/>
      <c r="H5" s="444"/>
      <c r="I5" s="445" t="s">
        <v>121</v>
      </c>
      <c r="J5" s="446"/>
      <c r="K5" s="446"/>
      <c r="L5" s="315"/>
      <c r="M5" s="316"/>
      <c r="N5" s="316"/>
      <c r="O5" s="437" t="s">
        <v>122</v>
      </c>
      <c r="P5" s="438"/>
      <c r="Q5" s="438"/>
      <c r="R5" s="439" t="s">
        <v>123</v>
      </c>
      <c r="S5" s="440"/>
      <c r="T5" s="440"/>
      <c r="U5" s="103"/>
    </row>
    <row r="6" spans="2:21" s="110" customFormat="1" ht="28.5" x14ac:dyDescent="0.45">
      <c r="B6" s="104"/>
      <c r="C6" s="347" t="s">
        <v>124</v>
      </c>
      <c r="D6" s="296" t="s">
        <v>125</v>
      </c>
      <c r="E6" s="296" t="s">
        <v>126</v>
      </c>
      <c r="F6" s="317" t="s">
        <v>127</v>
      </c>
      <c r="G6" s="318" t="s">
        <v>128</v>
      </c>
      <c r="H6" s="319" t="s">
        <v>129</v>
      </c>
      <c r="I6" s="317" t="s">
        <v>127</v>
      </c>
      <c r="J6" s="318" t="s">
        <v>128</v>
      </c>
      <c r="K6" s="320" t="s">
        <v>129</v>
      </c>
      <c r="L6" s="321" t="s">
        <v>248</v>
      </c>
      <c r="M6" s="322" t="s">
        <v>249</v>
      </c>
      <c r="N6" s="323" t="s">
        <v>247</v>
      </c>
      <c r="O6" s="295" t="s">
        <v>131</v>
      </c>
      <c r="P6" s="296" t="s">
        <v>132</v>
      </c>
      <c r="Q6" s="296" t="s">
        <v>133</v>
      </c>
      <c r="R6" s="301" t="s">
        <v>134</v>
      </c>
      <c r="S6" s="302" t="s">
        <v>132</v>
      </c>
      <c r="T6" s="303" t="s">
        <v>133</v>
      </c>
      <c r="U6" s="109"/>
    </row>
    <row r="7" spans="2:21" s="110" customFormat="1" ht="20.45" customHeight="1" x14ac:dyDescent="0.45">
      <c r="B7" s="104"/>
      <c r="C7" s="348" t="s">
        <v>127</v>
      </c>
      <c r="D7" s="349">
        <v>987654321</v>
      </c>
      <c r="E7" s="350">
        <v>0.1</v>
      </c>
      <c r="F7" s="413"/>
      <c r="G7" s="391"/>
      <c r="H7" s="392">
        <v>0.45</v>
      </c>
      <c r="I7" s="447">
        <f>IF(OR(F7&gt;0.5,G7&gt;0.5,H7&gt;0.5,F8&gt;0.5,F9&gt;0.5),E7,0)</f>
        <v>0</v>
      </c>
      <c r="J7" s="450">
        <f>IF(OR(G7&gt;0.5,G8&gt;0.5,G9&gt;0.5,F8&gt;0.5,H8&gt;0.5),E8,0)</f>
        <v>0.15</v>
      </c>
      <c r="K7" s="450">
        <f>IF(OR(H7&gt;0.5,H8&gt;0.5,H9&gt;0.5,F9&gt;0.5,G9&gt;0.5),E9,0)</f>
        <v>0.1</v>
      </c>
      <c r="L7" s="453">
        <f>SUM(I7:K9)</f>
        <v>0.25</v>
      </c>
      <c r="M7" s="324">
        <f>IF(E7&gt;0.5,1,IF(AND(L7&gt;0.5,I7&gt;0),1,E7))</f>
        <v>0.1</v>
      </c>
      <c r="N7" s="325" t="str">
        <f>IF(E7="","",IF(AND(I7&lt;&gt;0,OR(I7+J7&gt;0.5,I7+K7&gt;0.5)),"Tilknyttet",IF(AND(I7&lt;&gt;0,OR(I7+J7&gt;=0.25,I7+K7&gt;=0.25)),"Partner",IF(E7&gt;0.5,"Tilnyttet",IF(E7&gt;=0.25,"Partner","Selvstendig")))))</f>
        <v>Selvstendig</v>
      </c>
      <c r="O7" s="297">
        <v>2500000</v>
      </c>
      <c r="P7" s="298">
        <v>3</v>
      </c>
      <c r="Q7" s="298">
        <v>1500000</v>
      </c>
      <c r="R7" s="304">
        <f>IF(AND($N7="Selvstendig",$M7&lt;0.25),0,$M7*O7)</f>
        <v>0</v>
      </c>
      <c r="S7" s="305">
        <f t="shared" ref="S7:T7" si="0">IF(AND($N7="Selvstendig",$M7&lt;0.25),0,$M7*P7)</f>
        <v>0</v>
      </c>
      <c r="T7" s="305">
        <f t="shared" si="0"/>
        <v>0</v>
      </c>
      <c r="U7" s="115"/>
    </row>
    <row r="8" spans="2:21" s="110" customFormat="1" ht="20.45" customHeight="1" x14ac:dyDescent="0.45">
      <c r="B8" s="104"/>
      <c r="C8" s="351" t="s">
        <v>128</v>
      </c>
      <c r="D8" s="352">
        <v>876543219</v>
      </c>
      <c r="E8" s="353">
        <v>0.15</v>
      </c>
      <c r="F8" s="393"/>
      <c r="G8" s="414"/>
      <c r="H8" s="394"/>
      <c r="I8" s="448"/>
      <c r="J8" s="451"/>
      <c r="K8" s="451"/>
      <c r="L8" s="454"/>
      <c r="M8" s="326">
        <f>IF(E8&gt;0.5,1,IF(AND(L7&gt;0.5,J7&gt;0),1,E8))</f>
        <v>0.15</v>
      </c>
      <c r="N8" s="325" t="str">
        <f>IF(E8="","",IF(AND(J7&lt;&gt;0,OR(J7+I7&gt;0.5,J7+K7&gt;0.5)),"Tilknyttet",IF(AND(J7&lt;&gt;0,OR(J7+I7&gt;=0.25,J7+K7&gt;=0.25)),"Partner",IF(E8&gt;0.5,"Tilnyttet",IF(E8&gt;=0.25,"Partner","Selvstendig")))))</f>
        <v>Partner</v>
      </c>
      <c r="O8" s="297">
        <v>3500000</v>
      </c>
      <c r="P8" s="298">
        <v>4</v>
      </c>
      <c r="Q8" s="298">
        <v>2000000</v>
      </c>
      <c r="R8" s="304">
        <f t="shared" ref="R8:R9" si="1">IF(AND($N8="Selvstendig",$M8&lt;0.25),0,$M8*O8)</f>
        <v>525000</v>
      </c>
      <c r="S8" s="305">
        <f t="shared" ref="S8:S9" si="2">IF(AND($N8="Selvstendig",$M8&lt;0.25),0,$M8*P8)</f>
        <v>0.6</v>
      </c>
      <c r="T8" s="305">
        <f t="shared" ref="T8:T9" si="3">IF(AND($N8="Selvstendig",$M8&lt;0.25),0,$M8*Q8)</f>
        <v>300000</v>
      </c>
      <c r="U8" s="115"/>
    </row>
    <row r="9" spans="2:21" s="110" customFormat="1" ht="20.45" customHeight="1" x14ac:dyDescent="0.45">
      <c r="B9" s="104"/>
      <c r="C9" s="354" t="s">
        <v>129</v>
      </c>
      <c r="D9" s="355">
        <v>765432198</v>
      </c>
      <c r="E9" s="356">
        <v>0.1</v>
      </c>
      <c r="F9" s="395"/>
      <c r="G9" s="396">
        <v>0.75</v>
      </c>
      <c r="H9" s="415"/>
      <c r="I9" s="449"/>
      <c r="J9" s="452"/>
      <c r="K9" s="452"/>
      <c r="L9" s="455"/>
      <c r="M9" s="327">
        <f>IF(E9&gt;0.5,1,IF(AND(L7&gt;0.5,K7&gt;0),1,E9))</f>
        <v>0.1</v>
      </c>
      <c r="N9" s="328" t="str">
        <f>IF(E9="","",IF(AND(K7&lt;&gt;0,OR(K7+J7&gt;0.5,K7+I7&gt;0.5)),"Tilknyttet",IF(AND(K7&lt;&gt;0,OR(K7+J7&gt;=0.25,K7+I7&gt;=0.25)),"Partner",IF(E9&gt;0.5,"Tilnyttet",IF(E9&gt;=0.25,"Partner","Selvstendig")))))</f>
        <v>Partner</v>
      </c>
      <c r="O9" s="299">
        <v>4000000</v>
      </c>
      <c r="P9" s="300">
        <v>5</v>
      </c>
      <c r="Q9" s="300">
        <v>2500000</v>
      </c>
      <c r="R9" s="306">
        <f t="shared" si="1"/>
        <v>400000</v>
      </c>
      <c r="S9" s="307">
        <f t="shared" si="2"/>
        <v>0.5</v>
      </c>
      <c r="T9" s="307">
        <f t="shared" si="3"/>
        <v>250000</v>
      </c>
      <c r="U9" s="115"/>
    </row>
    <row r="10" spans="2:21" s="110" customFormat="1" ht="20.45" customHeight="1" x14ac:dyDescent="0.45">
      <c r="B10" s="104"/>
      <c r="C10" s="122"/>
      <c r="D10" s="123"/>
      <c r="E10" s="124"/>
      <c r="F10" s="125"/>
      <c r="G10" s="125"/>
      <c r="H10" s="126"/>
      <c r="I10" s="127"/>
      <c r="J10" s="127"/>
      <c r="K10" s="127"/>
      <c r="L10" s="128"/>
      <c r="M10" s="129"/>
      <c r="N10" s="129"/>
      <c r="O10" s="28"/>
      <c r="P10" s="114"/>
      <c r="Q10" s="114"/>
      <c r="R10" s="308">
        <f>SUM(R3:R9)</f>
        <v>925000</v>
      </c>
      <c r="S10" s="309">
        <f t="shared" ref="S10:T10" si="4">SUM(S3:S9)</f>
        <v>1.1000000000000001</v>
      </c>
      <c r="T10" s="310">
        <f t="shared" si="4"/>
        <v>550000</v>
      </c>
      <c r="U10" s="109"/>
    </row>
    <row r="11" spans="2:21" ht="14.65" thickBot="1" x14ac:dyDescent="0.5">
      <c r="B11" s="130"/>
      <c r="C11" s="131"/>
      <c r="D11" s="132"/>
      <c r="E11" s="131"/>
      <c r="F11" s="132"/>
      <c r="G11" s="132"/>
      <c r="H11" s="132"/>
      <c r="I11" s="132"/>
      <c r="J11" s="132"/>
      <c r="K11" s="131"/>
      <c r="L11" s="131"/>
      <c r="M11" s="132"/>
      <c r="N11" s="132"/>
      <c r="O11" s="132"/>
      <c r="P11" s="133"/>
      <c r="Q11" s="133"/>
      <c r="R11" s="131"/>
      <c r="S11" s="131"/>
      <c r="T11" s="131"/>
      <c r="U11" s="134"/>
    </row>
    <row r="12" spans="2:21" x14ac:dyDescent="0.45">
      <c r="M12" s="135"/>
      <c r="N12" s="135"/>
      <c r="O12" s="135"/>
      <c r="P12" s="135"/>
      <c r="Q12" s="135"/>
    </row>
    <row r="15" spans="2:21" ht="14.65" thickBot="1" x14ac:dyDescent="0.5"/>
    <row r="16" spans="2:21" x14ac:dyDescent="0.45">
      <c r="B16" s="357"/>
      <c r="C16" s="358"/>
      <c r="D16" s="359"/>
      <c r="E16" s="359"/>
      <c r="F16" s="359"/>
      <c r="G16" s="359"/>
      <c r="H16" s="359"/>
      <c r="I16" s="359"/>
      <c r="J16" s="360"/>
      <c r="L16" s="329"/>
      <c r="M16" s="330"/>
      <c r="N16" s="330"/>
      <c r="O16" s="330"/>
      <c r="P16" s="331"/>
    </row>
    <row r="17" spans="2:18" ht="18" x14ac:dyDescent="0.55000000000000004">
      <c r="B17" s="361"/>
      <c r="C17" s="362" t="s">
        <v>135</v>
      </c>
      <c r="D17" s="363"/>
      <c r="E17" s="363"/>
      <c r="F17" s="363"/>
      <c r="G17" s="363"/>
      <c r="H17" s="363"/>
      <c r="I17" s="363"/>
      <c r="J17" s="364"/>
      <c r="L17" s="332"/>
      <c r="M17" s="333" t="s">
        <v>148</v>
      </c>
      <c r="N17" s="334"/>
      <c r="O17" s="334"/>
      <c r="P17" s="335"/>
    </row>
    <row r="18" spans="2:18" ht="18" x14ac:dyDescent="0.55000000000000004">
      <c r="B18" s="361"/>
      <c r="C18" s="362"/>
      <c r="D18" s="363"/>
      <c r="E18" s="363"/>
      <c r="F18" s="363"/>
      <c r="G18" s="363"/>
      <c r="H18" s="363"/>
      <c r="I18" s="363"/>
      <c r="J18" s="364"/>
      <c r="L18" s="332"/>
      <c r="M18" s="334"/>
      <c r="N18" s="334"/>
      <c r="O18" s="334"/>
      <c r="P18" s="335"/>
    </row>
    <row r="19" spans="2:18" x14ac:dyDescent="0.45">
      <c r="B19" s="361"/>
      <c r="C19" s="365" t="s">
        <v>124</v>
      </c>
      <c r="D19" s="312" t="s">
        <v>125</v>
      </c>
      <c r="E19" s="312"/>
      <c r="F19" s="312"/>
      <c r="G19" s="311" t="s">
        <v>131</v>
      </c>
      <c r="H19" s="312" t="s">
        <v>132</v>
      </c>
      <c r="I19" s="312" t="s">
        <v>133</v>
      </c>
      <c r="J19" s="364"/>
      <c r="K19" s="95"/>
      <c r="L19" s="336"/>
      <c r="M19" s="337" t="s">
        <v>131</v>
      </c>
      <c r="N19" s="338" t="s">
        <v>132</v>
      </c>
      <c r="O19" s="338" t="s">
        <v>133</v>
      </c>
      <c r="P19" s="339"/>
    </row>
    <row r="20" spans="2:18" x14ac:dyDescent="0.45">
      <c r="B20" s="361"/>
      <c r="C20" s="366" t="s">
        <v>136</v>
      </c>
      <c r="D20" s="363">
        <v>123456789</v>
      </c>
      <c r="E20" s="367"/>
      <c r="F20" s="367"/>
      <c r="G20" s="313">
        <v>15000000</v>
      </c>
      <c r="H20" s="314">
        <v>4</v>
      </c>
      <c r="I20" s="314">
        <v>2500000</v>
      </c>
      <c r="J20" s="364"/>
      <c r="K20" s="135"/>
      <c r="L20" s="340"/>
      <c r="M20" s="341">
        <f>R10+G20+J39</f>
        <v>18425000</v>
      </c>
      <c r="N20" s="342">
        <f>S10+H20+K39</f>
        <v>8.1</v>
      </c>
      <c r="O20" s="342">
        <f>T10+I20+L39</f>
        <v>4550000</v>
      </c>
      <c r="P20" s="339"/>
    </row>
    <row r="21" spans="2:18" x14ac:dyDescent="0.45">
      <c r="B21" s="361"/>
      <c r="C21" s="366"/>
      <c r="D21" s="363"/>
      <c r="E21" s="363"/>
      <c r="F21" s="363"/>
      <c r="G21" s="363"/>
      <c r="H21" s="363"/>
      <c r="I21" s="363"/>
      <c r="J21" s="364"/>
      <c r="L21" s="332"/>
      <c r="M21" s="334"/>
      <c r="N21" s="334"/>
      <c r="O21" s="334"/>
      <c r="P21" s="335"/>
    </row>
    <row r="22" spans="2:18" ht="19.5" customHeight="1" x14ac:dyDescent="0.45">
      <c r="B22" s="361"/>
      <c r="C22" s="366"/>
      <c r="D22" s="363"/>
      <c r="E22" s="363"/>
      <c r="F22" s="363"/>
      <c r="G22" s="363"/>
      <c r="H22" s="363"/>
      <c r="I22" s="363"/>
      <c r="J22" s="364"/>
      <c r="L22" s="332"/>
      <c r="M22" s="343" t="s">
        <v>156</v>
      </c>
      <c r="N22" s="441" t="str">
        <f>IF(AND(N20&lt;Lister!V5,OR(Eierstruktur!M20&lt;Lister!W5,Eierstruktur!O20&lt;Lister!X5)),"Mikro",IF(AND(N20&lt;Lister!V4,OR(Eierstruktur!M20&lt;=Lister!W4,Eierstruktur!O20&lt;=Lister!X4)),"Liten",IF(AND(N20&lt;Lister!V3,OR(Eierstruktur!M20&lt;=Lister!W3,Eierstruktur!O20&lt;=Lister!X3)),"Mellomstor",IF(AND(N20&lt;=Lister!V2,OR(Eierstruktur!M20&lt;=Lister!W2,Eierstruktur!O20&lt;=Lister!X2)),"Stor",""))))</f>
        <v>Mikro</v>
      </c>
      <c r="O22" s="441"/>
      <c r="P22" s="335"/>
    </row>
    <row r="23" spans="2:18" ht="6.4" customHeight="1" thickBot="1" x14ac:dyDescent="0.5">
      <c r="B23" s="368"/>
      <c r="C23" s="369"/>
      <c r="D23" s="370"/>
      <c r="E23" s="370"/>
      <c r="F23" s="370"/>
      <c r="G23" s="370"/>
      <c r="H23" s="370"/>
      <c r="I23" s="370"/>
      <c r="J23" s="371"/>
      <c r="L23" s="344"/>
      <c r="M23" s="345"/>
      <c r="N23" s="345"/>
      <c r="O23" s="345"/>
      <c r="P23" s="346"/>
    </row>
    <row r="25" spans="2:18" x14ac:dyDescent="0.45">
      <c r="P25" s="95"/>
      <c r="Q25" s="95"/>
      <c r="R25" s="95"/>
    </row>
    <row r="26" spans="2:18" x14ac:dyDescent="0.45">
      <c r="P26" s="95"/>
      <c r="Q26" s="95"/>
      <c r="R26" s="95"/>
    </row>
    <row r="27" spans="2:18" ht="14.65" thickBot="1" x14ac:dyDescent="0.5">
      <c r="P27" s="95"/>
      <c r="Q27" s="135"/>
      <c r="R27" s="135"/>
    </row>
    <row r="28" spans="2:18" x14ac:dyDescent="0.45">
      <c r="B28" s="357"/>
      <c r="C28" s="358"/>
      <c r="D28" s="359"/>
      <c r="E28" s="359"/>
      <c r="F28" s="359"/>
      <c r="G28" s="359"/>
      <c r="H28" s="359"/>
      <c r="I28" s="359"/>
      <c r="J28" s="98"/>
      <c r="K28" s="99"/>
      <c r="L28" s="99"/>
      <c r="M28" s="100"/>
      <c r="P28" s="95"/>
      <c r="Q28" s="135"/>
      <c r="R28" s="135"/>
    </row>
    <row r="29" spans="2:18" ht="15.75" x14ac:dyDescent="0.5">
      <c r="B29" s="361"/>
      <c r="C29" s="372" t="s">
        <v>137</v>
      </c>
      <c r="D29" s="363"/>
      <c r="E29" s="363"/>
      <c r="F29" s="363"/>
      <c r="G29" s="363"/>
      <c r="H29" s="363"/>
      <c r="I29" s="363"/>
      <c r="M29" s="103"/>
      <c r="P29" s="95"/>
      <c r="Q29" s="135"/>
      <c r="R29" s="135"/>
    </row>
    <row r="30" spans="2:18" s="110" customFormat="1" ht="28.5" customHeight="1" x14ac:dyDescent="0.45">
      <c r="B30" s="373"/>
      <c r="C30" s="374"/>
      <c r="D30" s="294"/>
      <c r="E30" s="294"/>
      <c r="F30" s="294"/>
      <c r="G30" s="437" t="s">
        <v>122</v>
      </c>
      <c r="H30" s="438"/>
      <c r="I30" s="438"/>
      <c r="J30" s="439" t="s">
        <v>123</v>
      </c>
      <c r="K30" s="440"/>
      <c r="L30" s="440"/>
      <c r="M30" s="138"/>
      <c r="N30" s="139"/>
      <c r="O30" s="139"/>
    </row>
    <row r="31" spans="2:18" s="110" customFormat="1" ht="18" customHeight="1" x14ac:dyDescent="0.45">
      <c r="B31" s="373"/>
      <c r="C31" s="347" t="s">
        <v>124</v>
      </c>
      <c r="D31" s="296" t="s">
        <v>125</v>
      </c>
      <c r="E31" s="296" t="s">
        <v>138</v>
      </c>
      <c r="F31" s="296" t="s">
        <v>130</v>
      </c>
      <c r="G31" s="295" t="s">
        <v>131</v>
      </c>
      <c r="H31" s="296" t="s">
        <v>132</v>
      </c>
      <c r="I31" s="296" t="s">
        <v>133</v>
      </c>
      <c r="J31" s="301" t="s">
        <v>134</v>
      </c>
      <c r="K31" s="302" t="s">
        <v>132</v>
      </c>
      <c r="L31" s="302" t="s">
        <v>133</v>
      </c>
      <c r="M31" s="109"/>
    </row>
    <row r="32" spans="2:18" s="110" customFormat="1" ht="18" customHeight="1" x14ac:dyDescent="0.45">
      <c r="B32" s="373"/>
      <c r="C32" s="374" t="s">
        <v>139</v>
      </c>
      <c r="D32" s="294">
        <v>123456789</v>
      </c>
      <c r="E32" s="382">
        <v>0.501</v>
      </c>
      <c r="F32" s="375" t="str">
        <f>IF(E32=0,"",IF(E32&gt;0.5,"Tilknyttet",IF(E32&gt;=0.25,"Partner","Selvstendig")))</f>
        <v>Tilknyttet</v>
      </c>
      <c r="G32" s="297">
        <v>2500000</v>
      </c>
      <c r="H32" s="298">
        <v>3</v>
      </c>
      <c r="I32" s="298">
        <v>1500000</v>
      </c>
      <c r="J32" s="304">
        <f t="shared" ref="J32:L33" si="5">IF($E32&gt;0.5,1*G32,IF($E32&gt;=0.25,$E32*G32,0))</f>
        <v>2500000</v>
      </c>
      <c r="K32" s="304">
        <f t="shared" si="5"/>
        <v>3</v>
      </c>
      <c r="L32" s="304">
        <f t="shared" si="5"/>
        <v>1500000</v>
      </c>
      <c r="M32" s="109"/>
    </row>
    <row r="33" spans="2:18" s="110" customFormat="1" ht="18" customHeight="1" x14ac:dyDescent="0.45">
      <c r="B33" s="373"/>
      <c r="C33" s="374" t="s">
        <v>140</v>
      </c>
      <c r="D33" s="294">
        <v>234567891</v>
      </c>
      <c r="E33" s="382">
        <v>0.1</v>
      </c>
      <c r="F33" s="375" t="str">
        <f t="shared" ref="F33:F38" si="6">IF(E33=0,"",IF(E33&gt;0.5,"Tilknyttet",IF(E33&gt;=0.25,"Partner","Selvstendig")))</f>
        <v>Selvstendig</v>
      </c>
      <c r="G33" s="297">
        <v>3500000</v>
      </c>
      <c r="H33" s="298">
        <v>4</v>
      </c>
      <c r="I33" s="298">
        <v>2000000</v>
      </c>
      <c r="J33" s="304">
        <f t="shared" si="5"/>
        <v>0</v>
      </c>
      <c r="K33" s="304">
        <f t="shared" si="5"/>
        <v>0</v>
      </c>
      <c r="L33" s="304">
        <f t="shared" si="5"/>
        <v>0</v>
      </c>
      <c r="M33" s="109"/>
      <c r="O33"/>
      <c r="P33" s="95"/>
      <c r="Q33" s="95"/>
      <c r="R33" s="95"/>
    </row>
    <row r="34" spans="2:18" s="110" customFormat="1" ht="18" customHeight="1" x14ac:dyDescent="0.45">
      <c r="B34" s="373"/>
      <c r="C34" s="374" t="s">
        <v>141</v>
      </c>
      <c r="D34" s="294">
        <v>345678912</v>
      </c>
      <c r="E34" s="382">
        <v>0.1</v>
      </c>
      <c r="F34" s="375" t="str">
        <f t="shared" si="6"/>
        <v>Selvstendig</v>
      </c>
      <c r="G34" s="297">
        <v>4000000</v>
      </c>
      <c r="H34" s="298">
        <v>5</v>
      </c>
      <c r="I34" s="298">
        <v>2500000</v>
      </c>
      <c r="J34" s="304">
        <f t="shared" ref="J34:J38" si="7">IF($E34&gt;0.5,1*G34,IF($E34&gt;=0.25,$E34*G34,0))</f>
        <v>0</v>
      </c>
      <c r="K34" s="304">
        <f t="shared" ref="K34:K38" si="8">IF($E34&gt;0.5,1*H34,IF($E34&gt;=0.25,$E34*H34,0))</f>
        <v>0</v>
      </c>
      <c r="L34" s="304">
        <f t="shared" ref="L34:L38" si="9">IF($E34&gt;0.5,1*I34,IF($E34&gt;=0.25,$E34*I34,0))</f>
        <v>0</v>
      </c>
      <c r="M34" s="109"/>
      <c r="O34"/>
      <c r="P34" s="95"/>
      <c r="Q34" s="95"/>
      <c r="R34" s="95"/>
    </row>
    <row r="35" spans="2:18" s="110" customFormat="1" ht="18" customHeight="1" x14ac:dyDescent="0.45">
      <c r="B35" s="373"/>
      <c r="C35" s="374" t="s">
        <v>129</v>
      </c>
      <c r="D35" s="294">
        <v>456789123</v>
      </c>
      <c r="E35" s="382">
        <v>0.1</v>
      </c>
      <c r="F35" s="375" t="str">
        <f t="shared" si="6"/>
        <v>Selvstendig</v>
      </c>
      <c r="G35" s="297">
        <v>5000000</v>
      </c>
      <c r="H35" s="298">
        <v>6</v>
      </c>
      <c r="I35" s="298">
        <v>3000000</v>
      </c>
      <c r="J35" s="304">
        <f t="shared" si="7"/>
        <v>0</v>
      </c>
      <c r="K35" s="304">
        <f t="shared" si="8"/>
        <v>0</v>
      </c>
      <c r="L35" s="304">
        <f t="shared" si="9"/>
        <v>0</v>
      </c>
      <c r="M35" s="109"/>
      <c r="O35"/>
      <c r="P35" s="95"/>
      <c r="Q35" s="135"/>
      <c r="R35" s="135"/>
    </row>
    <row r="36" spans="2:18" s="110" customFormat="1" ht="18" customHeight="1" x14ac:dyDescent="0.45">
      <c r="B36" s="373"/>
      <c r="C36" s="374" t="s">
        <v>142</v>
      </c>
      <c r="D36" s="294"/>
      <c r="E36" s="294"/>
      <c r="F36" s="375" t="str">
        <f t="shared" si="6"/>
        <v/>
      </c>
      <c r="G36" s="297"/>
      <c r="H36" s="298"/>
      <c r="I36" s="298"/>
      <c r="J36" s="304">
        <f t="shared" si="7"/>
        <v>0</v>
      </c>
      <c r="K36" s="304">
        <f t="shared" si="8"/>
        <v>0</v>
      </c>
      <c r="L36" s="304">
        <f t="shared" si="9"/>
        <v>0</v>
      </c>
      <c r="M36" s="109"/>
      <c r="O36"/>
      <c r="P36" s="95"/>
      <c r="Q36" s="135"/>
      <c r="R36" s="135"/>
    </row>
    <row r="37" spans="2:18" s="110" customFormat="1" ht="18" customHeight="1" x14ac:dyDescent="0.45">
      <c r="B37" s="373"/>
      <c r="C37" s="374" t="s">
        <v>142</v>
      </c>
      <c r="D37" s="294"/>
      <c r="E37" s="294"/>
      <c r="F37" s="375" t="str">
        <f t="shared" si="6"/>
        <v/>
      </c>
      <c r="G37" s="297"/>
      <c r="H37" s="298"/>
      <c r="I37" s="298"/>
      <c r="J37" s="304">
        <f t="shared" si="7"/>
        <v>0</v>
      </c>
      <c r="K37" s="304">
        <f t="shared" si="8"/>
        <v>0</v>
      </c>
      <c r="L37" s="304">
        <f t="shared" si="9"/>
        <v>0</v>
      </c>
      <c r="M37" s="109"/>
      <c r="O37"/>
      <c r="P37" s="95"/>
      <c r="Q37" s="135"/>
      <c r="R37" s="135"/>
    </row>
    <row r="38" spans="2:18" s="110" customFormat="1" ht="18" customHeight="1" x14ac:dyDescent="0.45">
      <c r="B38" s="373"/>
      <c r="C38" s="347" t="s">
        <v>142</v>
      </c>
      <c r="D38" s="296"/>
      <c r="E38" s="296"/>
      <c r="F38" s="376" t="str">
        <f t="shared" si="6"/>
        <v/>
      </c>
      <c r="G38" s="299"/>
      <c r="H38" s="300"/>
      <c r="I38" s="300"/>
      <c r="J38" s="306">
        <f t="shared" si="7"/>
        <v>0</v>
      </c>
      <c r="K38" s="306">
        <f t="shared" si="8"/>
        <v>0</v>
      </c>
      <c r="L38" s="306">
        <f t="shared" si="9"/>
        <v>0</v>
      </c>
      <c r="M38" s="109"/>
    </row>
    <row r="39" spans="2:18" x14ac:dyDescent="0.45">
      <c r="B39" s="361"/>
      <c r="C39" s="366"/>
      <c r="D39" s="363"/>
      <c r="E39" s="363"/>
      <c r="F39" s="363"/>
      <c r="G39" s="314"/>
      <c r="H39" s="314"/>
      <c r="I39" s="314"/>
      <c r="J39" s="308">
        <f>SUM(J32:J38)</f>
        <v>2500000</v>
      </c>
      <c r="K39" s="310">
        <f t="shared" ref="K39:L39" si="10">SUM(K32:K38)</f>
        <v>3</v>
      </c>
      <c r="L39" s="310">
        <f t="shared" si="10"/>
        <v>1500000</v>
      </c>
      <c r="M39" s="103"/>
    </row>
    <row r="40" spans="2:18" ht="14.65" thickBot="1" x14ac:dyDescent="0.5">
      <c r="B40" s="368"/>
      <c r="C40" s="369"/>
      <c r="D40" s="370"/>
      <c r="E40" s="370"/>
      <c r="F40" s="370"/>
      <c r="G40" s="370"/>
      <c r="H40" s="370"/>
      <c r="I40" s="370"/>
      <c r="J40" s="132"/>
      <c r="K40" s="132"/>
      <c r="L40" s="132"/>
      <c r="M40" s="137"/>
      <c r="N40" s="95"/>
      <c r="O40" s="95"/>
    </row>
  </sheetData>
  <sheetProtection sheet="1" formatCells="0" formatColumns="0" formatRows="0" insertColumns="0" insertRows="0" selectLockedCells="1"/>
  <mergeCells count="11">
    <mergeCell ref="R5:T5"/>
    <mergeCell ref="I7:I9"/>
    <mergeCell ref="J7:J9"/>
    <mergeCell ref="K7:K9"/>
    <mergeCell ref="L7:L9"/>
    <mergeCell ref="G30:I30"/>
    <mergeCell ref="J30:L30"/>
    <mergeCell ref="N22:O22"/>
    <mergeCell ref="F5:H5"/>
    <mergeCell ref="I5:K5"/>
    <mergeCell ref="O5:Q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916A-2B8F-492B-AA0A-E75BEEAB4E61}">
  <sheetPr>
    <outlinePr summaryRight="0"/>
  </sheetPr>
  <dimension ref="A1:J218"/>
  <sheetViews>
    <sheetView tabSelected="1" zoomScaleNormal="100" workbookViewId="0">
      <selection activeCell="C6" sqref="C6:D6"/>
    </sheetView>
  </sheetViews>
  <sheetFormatPr baseColWidth="10" defaultColWidth="10.73046875" defaultRowHeight="14.25" outlineLevelRow="1" x14ac:dyDescent="0.45"/>
  <cols>
    <col min="1" max="1" width="4.1328125" style="1" customWidth="1"/>
    <col min="2" max="2" width="57.3984375" style="1" customWidth="1"/>
    <col min="3" max="3" width="25" style="1" customWidth="1"/>
    <col min="4" max="4" width="26.265625" style="3" customWidth="1"/>
    <col min="5" max="5" width="5.73046875" style="3" customWidth="1"/>
    <col min="6" max="6" width="62.59765625" style="1" customWidth="1"/>
    <col min="7" max="7" width="7.265625" style="1" customWidth="1"/>
    <col min="8" max="10" width="13" style="1" customWidth="1"/>
    <col min="11" max="16384" width="10.73046875" style="1"/>
  </cols>
  <sheetData>
    <row r="1" spans="2:6" ht="61.15" customHeight="1" x14ac:dyDescent="0.45"/>
    <row r="2" spans="2:6" ht="23.25" x14ac:dyDescent="0.7">
      <c r="B2" s="21" t="s">
        <v>17</v>
      </c>
      <c r="C2" s="14"/>
    </row>
    <row r="3" spans="2:6" ht="21" customHeight="1" x14ac:dyDescent="0.45">
      <c r="B3" s="397" t="str">
        <f>HYPERLINK("https://kompensasjonsordning.brreg.no/","For veiledning og søknadsskjema gå til kompensasjonsordning.brreg.no")</f>
        <v>For veiledning og søknadsskjema gå til kompensasjonsordning.brreg.no</v>
      </c>
    </row>
    <row r="4" spans="2:6" ht="7.5" customHeight="1" x14ac:dyDescent="0.45">
      <c r="B4" s="31"/>
    </row>
    <row r="6" spans="2:6" ht="22.5" customHeight="1" x14ac:dyDescent="0.45">
      <c r="B6" s="80" t="s">
        <v>7</v>
      </c>
      <c r="C6" s="460"/>
      <c r="D6" s="461"/>
    </row>
    <row r="7" spans="2:6" ht="24" customHeight="1" x14ac:dyDescent="0.45"/>
    <row r="8" spans="2:6" ht="21" x14ac:dyDescent="0.65">
      <c r="B8" s="196" t="s">
        <v>26</v>
      </c>
      <c r="C8" s="9"/>
    </row>
    <row r="9" spans="2:6" x14ac:dyDescent="0.45">
      <c r="D9" s="2"/>
    </row>
    <row r="10" spans="2:6" ht="31.9" customHeight="1" x14ac:dyDescent="0.45">
      <c r="B10" s="77" t="s">
        <v>3</v>
      </c>
      <c r="C10" s="78"/>
      <c r="D10" s="67"/>
      <c r="F10" s="53" t="str">
        <f>IF(D10="Nei","Foretaket kan ikke søke om tilskudd","")</f>
        <v/>
      </c>
    </row>
    <row r="11" spans="2:6" ht="31.9" customHeight="1" x14ac:dyDescent="0.45">
      <c r="B11" s="462" t="s">
        <v>177</v>
      </c>
      <c r="C11" s="463"/>
      <c r="D11" s="67"/>
      <c r="F11" s="53" t="str">
        <f t="shared" ref="F11:F14" si="0">IF(D11="Nei","Foretaket kan ikke søke om tilskudd","")</f>
        <v/>
      </c>
    </row>
    <row r="12" spans="2:6" ht="31.9" customHeight="1" x14ac:dyDescent="0.45">
      <c r="B12" s="77" t="s">
        <v>4</v>
      </c>
      <c r="C12" s="193"/>
      <c r="D12" s="67"/>
      <c r="F12" s="53" t="str">
        <f t="shared" si="0"/>
        <v/>
      </c>
    </row>
    <row r="13" spans="2:6" ht="31.9" customHeight="1" x14ac:dyDescent="0.45">
      <c r="B13" s="462" t="s">
        <v>101</v>
      </c>
      <c r="C13" s="463"/>
      <c r="D13" s="67"/>
      <c r="F13" s="53" t="str">
        <f t="shared" si="0"/>
        <v/>
      </c>
    </row>
    <row r="14" spans="2:6" ht="31.9" customHeight="1" x14ac:dyDescent="0.45">
      <c r="B14" s="462" t="s">
        <v>181</v>
      </c>
      <c r="C14" s="463"/>
      <c r="D14" s="67"/>
      <c r="F14" s="53" t="str">
        <f t="shared" si="0"/>
        <v/>
      </c>
    </row>
    <row r="15" spans="2:6" ht="31.9" customHeight="1" x14ac:dyDescent="0.45">
      <c r="B15" s="462" t="s">
        <v>103</v>
      </c>
      <c r="C15" s="463"/>
      <c r="D15" s="67"/>
      <c r="F15" s="53" t="str">
        <f>IF(D15="Ja","Foretaket kan ikke søke om tilskudd","")</f>
        <v/>
      </c>
    </row>
    <row r="16" spans="2:6" ht="31.9" customHeight="1" x14ac:dyDescent="0.45">
      <c r="B16" s="194" t="s">
        <v>23</v>
      </c>
      <c r="C16" s="195"/>
      <c r="D16" s="67"/>
      <c r="F16" s="53" t="str">
        <f t="shared" ref="F16:F17" si="1">IF(D16="Nei","Foretaket kan ikke søke om tilskudd","")</f>
        <v/>
      </c>
    </row>
    <row r="17" spans="2:6" ht="31.9" customHeight="1" x14ac:dyDescent="0.45">
      <c r="B17" s="462" t="s">
        <v>178</v>
      </c>
      <c r="C17" s="463"/>
      <c r="D17" s="67"/>
      <c r="F17" s="53" t="str">
        <f t="shared" si="1"/>
        <v/>
      </c>
    </row>
    <row r="18" spans="2:6" ht="31.9" customHeight="1" x14ac:dyDescent="0.45">
      <c r="B18" s="462" t="s">
        <v>182</v>
      </c>
      <c r="C18" s="463"/>
      <c r="D18" s="67"/>
      <c r="F18" s="53" t="str">
        <f>IF(OR(D18="Ja",D18="Delvis"),"Foretaket kan ikke søke om tilskudd","")</f>
        <v/>
      </c>
    </row>
    <row r="19" spans="2:6" ht="31.9" customHeight="1" x14ac:dyDescent="0.45">
      <c r="B19" s="462" t="s">
        <v>180</v>
      </c>
      <c r="C19" s="463"/>
      <c r="D19" s="67"/>
      <c r="F19" s="53" t="str">
        <f>IF(D19="Ja","Foretaket kan ikke søke om tilskudd","")</f>
        <v/>
      </c>
    </row>
    <row r="20" spans="2:6" ht="31.9" customHeight="1" x14ac:dyDescent="0.45">
      <c r="B20" s="161"/>
      <c r="C20" s="162"/>
      <c r="D20" s="162"/>
      <c r="E20" s="5"/>
      <c r="F20" s="169"/>
    </row>
    <row r="21" spans="2:6" ht="24.75" customHeight="1" x14ac:dyDescent="0.45">
      <c r="B21" s="12"/>
      <c r="C21" s="12"/>
    </row>
    <row r="22" spans="2:6" ht="21" x14ac:dyDescent="0.65">
      <c r="B22" s="196" t="s">
        <v>24</v>
      </c>
      <c r="C22" s="9"/>
      <c r="D22" s="13"/>
      <c r="F22" s="1" t="s">
        <v>20</v>
      </c>
    </row>
    <row r="23" spans="2:6" x14ac:dyDescent="0.45">
      <c r="D23" s="1"/>
    </row>
    <row r="24" spans="2:6" ht="31.9" customHeight="1" x14ac:dyDescent="0.45">
      <c r="B24" s="77" t="s">
        <v>25</v>
      </c>
      <c r="C24" s="6"/>
      <c r="D24" s="67"/>
      <c r="F24" s="68"/>
    </row>
    <row r="25" spans="2:6" ht="28.5" customHeight="1" x14ac:dyDescent="0.45">
      <c r="B25" s="459" t="s">
        <v>145</v>
      </c>
      <c r="C25" s="464"/>
      <c r="D25" s="67"/>
      <c r="F25" s="68"/>
    </row>
    <row r="26" spans="2:6" ht="28.5" customHeight="1" x14ac:dyDescent="0.45">
      <c r="B26" s="459" t="str">
        <f>IF(D25="Nei","Ikke relevant (foretaket skal benytte januar og februar 2020 som sammenligningsperiode)","Mangler foretaket omsetningstall for sammenligningsperioden (pga ingen omsetning og/eller restrukturering)?")</f>
        <v>Mangler foretaket omsetningstall for sammenligningsperioden (pga ingen omsetning og/eller restrukturering)?</v>
      </c>
      <c r="C26" s="464"/>
      <c r="D26" s="66"/>
      <c r="E26" s="39"/>
      <c r="F26" s="68"/>
    </row>
    <row r="27" spans="2:6" ht="18.75" customHeight="1" x14ac:dyDescent="0.45">
      <c r="B27" s="45"/>
      <c r="C27" s="44"/>
      <c r="D27" s="1"/>
      <c r="E27" s="1"/>
      <c r="F27" s="42"/>
    </row>
    <row r="28" spans="2:6" ht="29.45" customHeight="1" x14ac:dyDescent="0.45">
      <c r="B28" s="465" t="s">
        <v>112</v>
      </c>
      <c r="C28" s="466"/>
      <c r="D28" s="198" t="str">
        <f>IF(OR(D24="Mars og april 2021",D24="Mai og juni 2021"),0.85,IF(OR(D24="Juli og august 2021",D24="September og oktober 2021"),0.85/0.7,""))</f>
        <v/>
      </c>
    </row>
    <row r="29" spans="2:6" ht="29.45" customHeight="1" x14ac:dyDescent="0.45">
      <c r="B29" s="467" t="s">
        <v>113</v>
      </c>
      <c r="C29" s="468"/>
      <c r="D29" s="188" t="str">
        <f>IF(D24="","",IF(D24="September og oktober 2021",0.4,0.3))</f>
        <v/>
      </c>
    </row>
    <row r="30" spans="2:6" s="47" customFormat="1" ht="35.25" customHeight="1" x14ac:dyDescent="0.45">
      <c r="B30" s="16" t="s">
        <v>192</v>
      </c>
      <c r="D30" s="2"/>
      <c r="E30" s="2"/>
    </row>
    <row r="31" spans="2:6" s="25" customFormat="1" ht="24" customHeight="1" x14ac:dyDescent="0.45">
      <c r="B31" s="6" t="str">
        <f>IF(OR($D$24="",$D$25=""),"Omsetning i første måned av sammenligningsperioden",IF($D$25="Nei","Januar 2020",IF(OR($D$25="Nei",$D$26="Ja"),"Januar 2020",IF($D$24="Mars og april 2021","Omsetning i mars 2019",IF(D24="Mai og juni 2021","Omsetning i mai 2019",IF(D24="Juli og august 2021","Omsetning i juli 2019",IF(D24="September og oktober 2021","Omsetning i september 2019","Omsetning i første måned av sammenligningsperioden")))))))</f>
        <v>Omsetning i første måned av sammenligningsperioden</v>
      </c>
      <c r="C31" s="7"/>
      <c r="D31" s="69"/>
      <c r="E31" s="3"/>
      <c r="F31" s="68"/>
    </row>
    <row r="32" spans="2:6" s="25" customFormat="1" ht="24" customHeight="1" x14ac:dyDescent="0.45">
      <c r="B32" s="6" t="str">
        <f>IF(OR($D$24="",$D$25=""),"Omsetning i andre måned av sammenligningsperioden",IF(OR($D$25="Nei",$D$26="Ja"),"Februar 2020",IF($D$24="Mars og april 2021","Omsetning i april 2019",IF($D$24="Mai og juni 2021","Omsetning i juni 2019",IF(D24="Juli og august 2021","Omsetning i august 2019",IF(D24="September og oktober 2021","Omsetning i oktober 2019","Omsetning i første måned av sammenligningsperioden"))))))</f>
        <v>Omsetning i andre måned av sammenligningsperioden</v>
      </c>
      <c r="C32" s="6"/>
      <c r="D32" s="69"/>
      <c r="F32" s="68"/>
    </row>
    <row r="33" spans="2:8" s="25" customFormat="1" ht="24" customHeight="1" x14ac:dyDescent="0.45">
      <c r="B33" s="6"/>
      <c r="C33" s="6"/>
      <c r="D33" s="85"/>
      <c r="F33" s="383"/>
    </row>
    <row r="34" spans="2:8" s="25" customFormat="1" ht="29.45" customHeight="1" x14ac:dyDescent="0.45">
      <c r="B34" s="172" t="s">
        <v>334</v>
      </c>
      <c r="C34" s="388"/>
      <c r="D34" s="389">
        <f>IF(D25="",0,IF(D24="Mars og april 2021",VLOOKUP(B31,Lister!C1:D7,2,FALSE),IF(D24="Mai og juni 2021",VLOOKUP(B31,Lister!E2:F7,2,FALSE),IF(D24="Juli og august 2021",VLOOKUP(B31,Lister!G2:H9,2,FALSE),IF(D24="September og oktober 2021",VLOOKUP(B31,Lister!I2:J11,2,FALSE),0)))))</f>
        <v>0</v>
      </c>
      <c r="F34" s="167"/>
    </row>
    <row r="35" spans="2:8" s="25" customFormat="1" ht="29.45" customHeight="1" x14ac:dyDescent="0.45">
      <c r="B35" s="174" t="s">
        <v>326</v>
      </c>
      <c r="C35" s="51"/>
      <c r="D35" s="390">
        <f>(D31+D32)*(1+D34)</f>
        <v>0</v>
      </c>
      <c r="F35" s="46"/>
    </row>
    <row r="36" spans="2:8" s="25" customFormat="1" ht="31.5" customHeight="1" x14ac:dyDescent="0.45">
      <c r="B36" s="16" t="s">
        <v>193</v>
      </c>
      <c r="C36" s="6"/>
      <c r="D36" s="37"/>
      <c r="E36" s="46"/>
      <c r="F36" s="384"/>
      <c r="G36" s="46"/>
    </row>
    <row r="37" spans="2:8" s="25" customFormat="1" ht="24" customHeight="1" x14ac:dyDescent="0.45">
      <c r="B37" s="6" t="str">
        <f>IF(D$24="Mars og April 2021","Omsetning i mars 2021",IF(D$24="Mai og juni 2021","Omsetning i mai 2021",IF(D24="Juli og august 2021","omsetning i juli 2021",IF(D24="September og oktober 2021","Omsetning i september 2021","Omsetning i første måned av søknadsperioden"))))</f>
        <v>Omsetning i første måned av søknadsperioden</v>
      </c>
      <c r="C37" s="6"/>
      <c r="D37" s="70"/>
      <c r="F37" s="87"/>
    </row>
    <row r="38" spans="2:8" s="25" customFormat="1" ht="24" customHeight="1" x14ac:dyDescent="0.45">
      <c r="B38" s="6" t="str">
        <f>IF(D$24="Mars og April 2021","Omsetning i april 2021",IF(D$24="Mai og juni 2021","Omsetning i juni 2021",IF(D24="Juli og august 2021","Omsetning i august 2021",IF(D24="September og oktober 2021","Omsetning i oktober 2021","Omsetning i andre måned av søknadsperioden"))))</f>
        <v>Omsetning i andre måned av søknadsperioden</v>
      </c>
      <c r="C38" s="6"/>
      <c r="D38" s="70"/>
      <c r="F38" s="68"/>
    </row>
    <row r="39" spans="2:8" ht="30.75" customHeight="1" x14ac:dyDescent="0.45">
      <c r="B39" s="57" t="s">
        <v>115</v>
      </c>
      <c r="C39" s="6"/>
      <c r="D39" s="27"/>
      <c r="E39" s="1"/>
    </row>
    <row r="40" spans="2:8" ht="67.5" customHeight="1" x14ac:dyDescent="0.45">
      <c r="B40" s="459" t="str">
        <f>IF(D11="Nei, men er eiers hovedinntektskilde","Har foretaket i perioden det søkes om støtte for mottatt annen økonomisk støtte fra det offentlige pga virusutbruddet og / eller har innehaver mottatt sykepenger, omsorgspenger, foreldrepenger eller pleiepenger?","Har foretaket mottatt annen økonomisk støtte pga virusutbruddet, som IKKE er tidligere tilskudd fra denne ordningen, uspesifisert bagatellmessig støtte fra kommuner, tilskudd for avbrutt permittering, gaver fra privatpersoner i sum 3 000 kr, "&amp;"tilskudd til likviditetsstyring fra Innovasjon Norge, og tilskudd for tapt varelager,  jf. forskriften § 2-2 annet ledd")</f>
        <v>Har foretaket mottatt annen økonomisk støtte pga virusutbruddet, som IKKE er tidligere tilskudd fra denne ordningen, uspesifisert bagatellmessig støtte fra kommuner, tilskudd for avbrutt permittering, gaver fra privatpersoner i sum 3 000 kr, tilskudd til likviditetsstyring fra Innovasjon Norge, og tilskudd for tapt varelager,  jf. forskriften § 2-2 annet ledd</v>
      </c>
      <c r="C40" s="459"/>
      <c r="D40" s="66"/>
      <c r="E40" s="1"/>
      <c r="F40" s="68"/>
    </row>
    <row r="41" spans="2:8" ht="25.9" customHeight="1" x14ac:dyDescent="0.45">
      <c r="B41" s="459" t="str">
        <f>IF(D40="Nei","Ikke relevant","Vennligst angi hvor mye foretaket allerede har mottatt i økonomisk støtte?")</f>
        <v>Vennligst angi hvor mye foretaket allerede har mottatt i økonomisk støtte?</v>
      </c>
      <c r="C41" s="459"/>
      <c r="D41" s="70"/>
      <c r="E41" s="1"/>
      <c r="F41" s="87"/>
    </row>
    <row r="42" spans="2:8" ht="12.4" customHeight="1" x14ac:dyDescent="0.45">
      <c r="B42" s="33"/>
      <c r="C42" s="33"/>
      <c r="D42" s="28"/>
      <c r="E42" s="1"/>
    </row>
    <row r="43" spans="2:8" s="27" customFormat="1" ht="30" customHeight="1" x14ac:dyDescent="0.45">
      <c r="B43" s="184" t="s">
        <v>335</v>
      </c>
      <c r="C43" s="185"/>
      <c r="D43" s="180">
        <f>D35</f>
        <v>0</v>
      </c>
      <c r="F43" s="55" t="str">
        <f>IF(AND(D37&lt;&gt;"",D38&lt;&gt;"",D43=0),"NB! Foretak med ingen omsetning i sammenlikningsperioden kan ikke søke om tilskudd","")</f>
        <v/>
      </c>
    </row>
    <row r="44" spans="2:8" s="27" customFormat="1" ht="13.35" customHeight="1" x14ac:dyDescent="0.45">
      <c r="B44" s="183"/>
      <c r="C44" s="36"/>
      <c r="D44" s="37"/>
      <c r="F44" s="41"/>
    </row>
    <row r="45" spans="2:8" s="27" customFormat="1" ht="30" customHeight="1" x14ac:dyDescent="0.45">
      <c r="B45" s="172" t="s">
        <v>111</v>
      </c>
      <c r="C45" s="186"/>
      <c r="D45" s="187">
        <f>IF(D43=0,0,1-(D37+D38+D41)/D43)</f>
        <v>0</v>
      </c>
      <c r="F45" s="53" t="str">
        <f>IF(D43=0,"",IF(D45&lt;0.3,"Foretaket kan ikke søke om tilskudd",""))</f>
        <v/>
      </c>
      <c r="H45" s="40"/>
    </row>
    <row r="46" spans="2:8" s="27" customFormat="1" ht="30" customHeight="1" x14ac:dyDescent="0.45">
      <c r="B46" s="174" t="s">
        <v>110</v>
      </c>
      <c r="C46" s="48"/>
      <c r="D46" s="202">
        <f>D43-D41-(D37+D38)</f>
        <v>0</v>
      </c>
      <c r="H46" s="40"/>
    </row>
    <row r="47" spans="2:8" ht="30" customHeight="1" x14ac:dyDescent="0.45">
      <c r="B47" s="4"/>
      <c r="C47" s="4"/>
      <c r="D47" s="50"/>
      <c r="E47" s="4"/>
      <c r="F47" s="4"/>
    </row>
    <row r="48" spans="2:8" ht="14.65" customHeight="1" x14ac:dyDescent="0.45">
      <c r="B48" s="163"/>
      <c r="C48" s="160"/>
      <c r="D48" s="160"/>
      <c r="F48" s="53"/>
    </row>
    <row r="49" spans="1:6" ht="27" customHeight="1" x14ac:dyDescent="0.65">
      <c r="B49" s="14" t="s">
        <v>176</v>
      </c>
      <c r="C49" s="92"/>
      <c r="D49" s="34"/>
    </row>
    <row r="50" spans="1:6" ht="34.5" customHeight="1" x14ac:dyDescent="0.45">
      <c r="B50" s="206" t="s">
        <v>157</v>
      </c>
      <c r="C50" s="92"/>
      <c r="D50" s="34"/>
      <c r="F50" s="27" t="s">
        <v>20</v>
      </c>
    </row>
    <row r="51" spans="1:6" ht="23.25" customHeight="1" x14ac:dyDescent="0.45">
      <c r="B51" s="92" t="s">
        <v>184</v>
      </c>
      <c r="C51" s="92"/>
      <c r="D51" s="290"/>
      <c r="F51" s="87"/>
    </row>
    <row r="52" spans="1:6" ht="23.45" customHeight="1" x14ac:dyDescent="0.45">
      <c r="B52" s="92" t="s">
        <v>185</v>
      </c>
      <c r="C52" s="92"/>
      <c r="D52" s="290"/>
      <c r="F52" s="68"/>
    </row>
    <row r="53" spans="1:6" ht="23.45" customHeight="1" x14ac:dyDescent="0.45">
      <c r="A53" s="12"/>
      <c r="B53" s="92" t="s">
        <v>186</v>
      </c>
      <c r="C53" s="92"/>
      <c r="D53" s="290"/>
      <c r="F53" s="68"/>
    </row>
    <row r="54" spans="1:6" ht="21.95" customHeight="1" x14ac:dyDescent="0.45">
      <c r="A54" s="12"/>
      <c r="B54" s="92"/>
      <c r="C54" s="92"/>
      <c r="D54" s="34"/>
    </row>
    <row r="55" spans="1:6" ht="30" customHeight="1" x14ac:dyDescent="0.45">
      <c r="A55" s="12"/>
      <c r="B55" s="172" t="s">
        <v>173</v>
      </c>
      <c r="C55" s="186"/>
      <c r="D55" s="177" t="str">
        <f>IF(OR(D51="",D52="",D53=""),"",IF(AND(D51&lt;Lister!V5,OR(Beregningsmodell!D52&lt;Lister!W5,Beregningsmodell!D53&lt;Lister!X5)),"Mikro",IF(AND(Beregningsmodell!D51&lt;Lister!V4,OR(Beregningsmodell!D52&lt;=Lister!W4,Beregningsmodell!D53&lt;=Lister!X4)),"Liten",IF(AND(Beregningsmodell!D51&lt;Lister!V3,OR(Beregningsmodell!D52&lt;=Lister!W3,Beregningsmodell!D53&lt;=Lister!X3)),"Mellomstor",IF(AND(Beregningsmodell!D51&lt;=Lister!V2,OR(Beregningsmodell!D52&lt;=Lister!W2,Beregningsmodell!D53&lt;=Lister!X2)),"Stor","")))))</f>
        <v/>
      </c>
      <c r="F55" s="398"/>
    </row>
    <row r="56" spans="1:6" ht="30" customHeight="1" x14ac:dyDescent="0.45">
      <c r="A56" s="12"/>
      <c r="B56" s="174" t="s">
        <v>174</v>
      </c>
      <c r="C56" s="48"/>
      <c r="D56" s="203">
        <f>IF(OR(D55="Mikro",D55="Liten"),0.9,IF(OR(D55="Mellomstor",D55="Stor"),0.7,0))</f>
        <v>0</v>
      </c>
    </row>
    <row r="57" spans="1:6" ht="30" customHeight="1" x14ac:dyDescent="0.45">
      <c r="A57" s="12"/>
      <c r="B57" s="246"/>
      <c r="C57" s="29"/>
      <c r="D57" s="247"/>
    </row>
    <row r="58" spans="1:6" ht="30" customHeight="1" x14ac:dyDescent="0.45">
      <c r="A58" s="12"/>
      <c r="B58" s="77" t="str">
        <f>IF(OR(D55="Mikro",D55="Liten"),"Ikke relevant","Utgjør samlet egenkaptial mindre en halvparten av selskapskapital og ovekurs?")</f>
        <v>Utgjør samlet egenkaptial mindre en halvparten av selskapskapital og ovekurs?</v>
      </c>
      <c r="C58" s="78"/>
      <c r="D58" s="67"/>
      <c r="F58" s="68"/>
    </row>
    <row r="59" spans="1:6" ht="30" customHeight="1" x14ac:dyDescent="0.45">
      <c r="A59" s="12"/>
      <c r="B59" s="270" t="str">
        <f>IF(OR(D55="Mikro",D55="Liten",D55="Mellomstor"),"Ikke relevant","Utgjør samlet gjeld mer enn 7,5 samlet egenkapital, og at forholdet mellom EBITDA og netto rentekostnader er større enn 1?")</f>
        <v>Utgjør samlet gjeld mer enn 7,5 samlet egenkapital, og at forholdet mellom EBITDA og netto rentekostnader er større enn 1?</v>
      </c>
      <c r="C59" s="29"/>
      <c r="D59" s="67"/>
      <c r="F59" s="68"/>
    </row>
    <row r="60" spans="1:6" ht="33" customHeight="1" x14ac:dyDescent="0.5">
      <c r="A60" s="12"/>
      <c r="B60" s="170" t="s">
        <v>170</v>
      </c>
      <c r="C60" s="92"/>
      <c r="D60" s="113"/>
    </row>
    <row r="61" spans="1:6" ht="33" customHeight="1" x14ac:dyDescent="0.45">
      <c r="A61" s="12"/>
      <c r="B61" s="92" t="s">
        <v>166</v>
      </c>
      <c r="C61" s="92"/>
      <c r="D61" s="291"/>
      <c r="F61" s="68"/>
    </row>
    <row r="62" spans="1:6" ht="33" customHeight="1" x14ac:dyDescent="0.45">
      <c r="A62" s="12"/>
      <c r="B62" s="457" t="s">
        <v>165</v>
      </c>
      <c r="C62" s="457"/>
      <c r="D62" s="291"/>
      <c r="F62" s="68"/>
    </row>
    <row r="63" spans="1:6" ht="53.25" customHeight="1" x14ac:dyDescent="0.45">
      <c r="A63" s="12"/>
      <c r="B63" s="458" t="s">
        <v>167</v>
      </c>
      <c r="C63" s="458"/>
      <c r="D63" s="291"/>
      <c r="F63" s="68"/>
    </row>
    <row r="64" spans="1:6" ht="25.5" customHeight="1" x14ac:dyDescent="0.45">
      <c r="A64" s="12"/>
      <c r="B64" s="29" t="s">
        <v>168</v>
      </c>
      <c r="C64" s="29"/>
      <c r="D64" s="204">
        <f>SUM(D61:D63)</f>
        <v>0</v>
      </c>
    </row>
    <row r="65" spans="1:6" ht="33" customHeight="1" x14ac:dyDescent="0.5">
      <c r="A65" s="12"/>
      <c r="B65" s="170" t="s">
        <v>171</v>
      </c>
      <c r="C65" s="92"/>
      <c r="D65" s="176"/>
    </row>
    <row r="66" spans="1:6" ht="25.5" customHeight="1" x14ac:dyDescent="0.45">
      <c r="A66" s="12"/>
      <c r="B66" s="92" t="s">
        <v>159</v>
      </c>
      <c r="C66" s="92"/>
      <c r="D66" s="291"/>
      <c r="F66" s="68"/>
    </row>
    <row r="67" spans="1:6" ht="25.5" customHeight="1" x14ac:dyDescent="0.45">
      <c r="A67" s="12"/>
      <c r="B67" s="456" t="s">
        <v>160</v>
      </c>
      <c r="C67" s="456"/>
      <c r="D67" s="291"/>
      <c r="F67" s="68"/>
    </row>
    <row r="68" spans="1:6" ht="25.5" customHeight="1" x14ac:dyDescent="0.45">
      <c r="A68" s="12"/>
      <c r="B68" s="456" t="s">
        <v>161</v>
      </c>
      <c r="C68" s="456"/>
      <c r="D68" s="291"/>
      <c r="F68" s="68"/>
    </row>
    <row r="69" spans="1:6" ht="25.5" customHeight="1" x14ac:dyDescent="0.45">
      <c r="A69" s="12"/>
      <c r="B69" s="456" t="s">
        <v>162</v>
      </c>
      <c r="C69" s="456"/>
      <c r="D69" s="291"/>
      <c r="F69" s="68"/>
    </row>
    <row r="70" spans="1:6" ht="25.5" customHeight="1" x14ac:dyDescent="0.45">
      <c r="A70" s="12"/>
      <c r="B70" s="456" t="s">
        <v>163</v>
      </c>
      <c r="C70" s="456"/>
      <c r="D70" s="291"/>
      <c r="F70" s="68"/>
    </row>
    <row r="71" spans="1:6" ht="36.75" customHeight="1" x14ac:dyDescent="0.45">
      <c r="A71" s="12"/>
      <c r="B71" s="457" t="s">
        <v>164</v>
      </c>
      <c r="C71" s="457"/>
      <c r="D71" s="291"/>
      <c r="F71" s="68"/>
    </row>
    <row r="72" spans="1:6" ht="26.25" customHeight="1" x14ac:dyDescent="0.45">
      <c r="A72" s="12"/>
      <c r="B72" s="29" t="s">
        <v>169</v>
      </c>
      <c r="C72" s="29"/>
      <c r="D72" s="204">
        <f>SUM(D66:D71)</f>
        <v>0</v>
      </c>
    </row>
    <row r="73" spans="1:6" ht="15" customHeight="1" x14ac:dyDescent="0.45">
      <c r="A73" s="12"/>
      <c r="B73" s="91"/>
      <c r="C73" s="91"/>
      <c r="D73" s="176"/>
    </row>
    <row r="74" spans="1:6" ht="32.25" customHeight="1" x14ac:dyDescent="0.45">
      <c r="B74" s="172" t="s">
        <v>172</v>
      </c>
      <c r="C74" s="173"/>
      <c r="D74" s="205">
        <f>D64-D72</f>
        <v>0</v>
      </c>
    </row>
    <row r="75" spans="1:6" ht="32.25" customHeight="1" x14ac:dyDescent="0.45">
      <c r="B75" s="174" t="s">
        <v>175</v>
      </c>
      <c r="C75" s="56"/>
      <c r="D75" s="202">
        <f>IF(D74&gt;=0,0,D74*-1*D56)</f>
        <v>0</v>
      </c>
    </row>
    <row r="77" spans="1:6" x14ac:dyDescent="0.45">
      <c r="B77" s="4"/>
      <c r="C77" s="4"/>
      <c r="D77" s="5"/>
      <c r="E77" s="5"/>
      <c r="F77" s="4"/>
    </row>
    <row r="80" spans="1:6" ht="30" x14ac:dyDescent="0.65">
      <c r="B80" s="81" t="str">
        <f>HYPERLINK("https://lovdata.no/forskrift/2020-12-21-3085/§3-2","4. Faste kostnader")</f>
        <v>4. Faste kostnader</v>
      </c>
      <c r="C80" s="17" t="s">
        <v>34</v>
      </c>
      <c r="D80" s="18" t="s">
        <v>2</v>
      </c>
      <c r="F80" s="19" t="s">
        <v>87</v>
      </c>
    </row>
    <row r="81" spans="2:6" ht="18" x14ac:dyDescent="0.55000000000000004">
      <c r="B81" s="89" t="s">
        <v>114</v>
      </c>
    </row>
    <row r="82" spans="2:6" ht="30.75" customHeight="1" x14ac:dyDescent="0.45">
      <c r="B82" s="11" t="s">
        <v>8</v>
      </c>
      <c r="C82" s="69"/>
      <c r="D82" s="69"/>
      <c r="E82" s="13"/>
      <c r="F82" s="68"/>
    </row>
    <row r="83" spans="2:6" ht="27" hidden="1" customHeight="1" outlineLevel="1" x14ac:dyDescent="0.45">
      <c r="B83" s="62" t="s">
        <v>88</v>
      </c>
      <c r="C83" s="71"/>
      <c r="D83" s="71"/>
      <c r="E83" s="13"/>
      <c r="F83" s="72"/>
    </row>
    <row r="84" spans="2:6" ht="30" hidden="1" customHeight="1" outlineLevel="1" x14ac:dyDescent="0.45">
      <c r="B84" s="62" t="s">
        <v>88</v>
      </c>
      <c r="C84" s="71"/>
      <c r="D84" s="71"/>
      <c r="E84" s="13"/>
      <c r="F84" s="72"/>
    </row>
    <row r="85" spans="2:6" ht="30" hidden="1" customHeight="1" outlineLevel="1" x14ac:dyDescent="0.45">
      <c r="B85" s="62" t="s">
        <v>88</v>
      </c>
      <c r="C85" s="71"/>
      <c r="D85" s="71"/>
      <c r="E85" s="13"/>
      <c r="F85" s="72"/>
    </row>
    <row r="86" spans="2:6" hidden="1" outlineLevel="1" x14ac:dyDescent="0.45">
      <c r="B86" s="62" t="s">
        <v>88</v>
      </c>
      <c r="C86" s="71"/>
      <c r="D86" s="71"/>
      <c r="E86" s="13"/>
      <c r="F86" s="72"/>
    </row>
    <row r="87" spans="2:6" ht="30" customHeight="1" collapsed="1" x14ac:dyDescent="0.45">
      <c r="B87" s="6" t="s">
        <v>18</v>
      </c>
      <c r="C87" s="69"/>
      <c r="D87" s="69"/>
      <c r="F87" s="68"/>
    </row>
    <row r="88" spans="2:6" ht="30" hidden="1" customHeight="1" outlineLevel="1" x14ac:dyDescent="0.45">
      <c r="B88" s="63" t="s">
        <v>89</v>
      </c>
      <c r="C88" s="71"/>
      <c r="D88" s="71"/>
      <c r="F88" s="72"/>
    </row>
    <row r="89" spans="2:6" ht="30" hidden="1" customHeight="1" outlineLevel="1" x14ac:dyDescent="0.45">
      <c r="B89" s="63" t="s">
        <v>89</v>
      </c>
      <c r="C89" s="71"/>
      <c r="D89" s="71"/>
      <c r="F89" s="72"/>
    </row>
    <row r="90" spans="2:6" ht="30" hidden="1" customHeight="1" outlineLevel="1" x14ac:dyDescent="0.45">
      <c r="B90" s="63" t="s">
        <v>89</v>
      </c>
      <c r="C90" s="71"/>
      <c r="D90" s="71"/>
      <c r="F90" s="72"/>
    </row>
    <row r="91" spans="2:6" ht="30" hidden="1" customHeight="1" outlineLevel="1" x14ac:dyDescent="0.45">
      <c r="B91" s="63" t="s">
        <v>89</v>
      </c>
      <c r="C91" s="71"/>
      <c r="D91" s="71"/>
      <c r="F91" s="72"/>
    </row>
    <row r="92" spans="2:6" ht="30" customHeight="1" collapsed="1" x14ac:dyDescent="0.45">
      <c r="B92" s="6" t="s">
        <v>9</v>
      </c>
      <c r="C92" s="69"/>
      <c r="D92" s="69"/>
      <c r="F92" s="68"/>
    </row>
    <row r="93" spans="2:6" ht="30" hidden="1" customHeight="1" outlineLevel="1" x14ac:dyDescent="0.45">
      <c r="B93" s="63" t="s">
        <v>90</v>
      </c>
      <c r="C93" s="71"/>
      <c r="D93" s="71"/>
      <c r="F93" s="72"/>
    </row>
    <row r="94" spans="2:6" ht="30" hidden="1" customHeight="1" outlineLevel="1" x14ac:dyDescent="0.45">
      <c r="B94" s="63" t="s">
        <v>90</v>
      </c>
      <c r="C94" s="71"/>
      <c r="D94" s="71"/>
      <c r="F94" s="72"/>
    </row>
    <row r="95" spans="2:6" ht="30" hidden="1" customHeight="1" outlineLevel="1" x14ac:dyDescent="0.45">
      <c r="B95" s="63" t="s">
        <v>90</v>
      </c>
      <c r="C95" s="71"/>
      <c r="D95" s="71"/>
      <c r="F95" s="72"/>
    </row>
    <row r="96" spans="2:6" ht="30" hidden="1" customHeight="1" outlineLevel="1" x14ac:dyDescent="0.45">
      <c r="B96" s="63" t="s">
        <v>90</v>
      </c>
      <c r="C96" s="71"/>
      <c r="D96" s="71"/>
      <c r="F96" s="72"/>
    </row>
    <row r="97" spans="2:6" ht="30" customHeight="1" collapsed="1" x14ac:dyDescent="0.45">
      <c r="B97" s="11" t="s">
        <v>10</v>
      </c>
      <c r="C97" s="69"/>
      <c r="D97" s="69"/>
      <c r="F97" s="68"/>
    </row>
    <row r="98" spans="2:6" ht="30" hidden="1" customHeight="1" outlineLevel="1" x14ac:dyDescent="0.45">
      <c r="B98" s="62" t="s">
        <v>91</v>
      </c>
      <c r="C98" s="71"/>
      <c r="D98" s="71"/>
      <c r="F98" s="72"/>
    </row>
    <row r="99" spans="2:6" ht="30" hidden="1" customHeight="1" outlineLevel="1" x14ac:dyDescent="0.45">
      <c r="B99" s="62" t="s">
        <v>91</v>
      </c>
      <c r="C99" s="71"/>
      <c r="D99" s="71"/>
      <c r="F99" s="72"/>
    </row>
    <row r="100" spans="2:6" ht="30" hidden="1" customHeight="1" outlineLevel="1" x14ac:dyDescent="0.45">
      <c r="B100" s="62" t="s">
        <v>91</v>
      </c>
      <c r="C100" s="71"/>
      <c r="D100" s="71"/>
      <c r="F100" s="72"/>
    </row>
    <row r="101" spans="2:6" ht="30" hidden="1" customHeight="1" outlineLevel="1" x14ac:dyDescent="0.45">
      <c r="B101" s="62" t="s">
        <v>91</v>
      </c>
      <c r="C101" s="71"/>
      <c r="D101" s="71"/>
      <c r="F101" s="72"/>
    </row>
    <row r="102" spans="2:6" ht="30" customHeight="1" collapsed="1" x14ac:dyDescent="0.45">
      <c r="B102" s="6" t="s">
        <v>11</v>
      </c>
      <c r="C102" s="69"/>
      <c r="D102" s="69"/>
      <c r="F102" s="68"/>
    </row>
    <row r="103" spans="2:6" ht="30" hidden="1" customHeight="1" outlineLevel="1" x14ac:dyDescent="0.45">
      <c r="B103" s="63" t="s">
        <v>92</v>
      </c>
      <c r="C103" s="71"/>
      <c r="D103" s="71"/>
      <c r="F103" s="72"/>
    </row>
    <row r="104" spans="2:6" ht="30" hidden="1" customHeight="1" outlineLevel="1" x14ac:dyDescent="0.45">
      <c r="B104" s="63" t="s">
        <v>92</v>
      </c>
      <c r="C104" s="71"/>
      <c r="D104" s="71"/>
      <c r="F104" s="72"/>
    </row>
    <row r="105" spans="2:6" ht="30" hidden="1" customHeight="1" outlineLevel="1" x14ac:dyDescent="0.45">
      <c r="B105" s="63" t="s">
        <v>92</v>
      </c>
      <c r="C105" s="71"/>
      <c r="D105" s="71"/>
      <c r="F105" s="72"/>
    </row>
    <row r="106" spans="2:6" ht="30" hidden="1" customHeight="1" outlineLevel="1" x14ac:dyDescent="0.45">
      <c r="B106" s="63" t="s">
        <v>92</v>
      </c>
      <c r="C106" s="71"/>
      <c r="D106" s="71"/>
      <c r="F106" s="72"/>
    </row>
    <row r="107" spans="2:6" ht="30" customHeight="1" collapsed="1" x14ac:dyDescent="0.45">
      <c r="B107" s="11" t="s">
        <v>12</v>
      </c>
      <c r="C107" s="69"/>
      <c r="D107" s="69"/>
      <c r="F107" s="68"/>
    </row>
    <row r="108" spans="2:6" ht="30" hidden="1" customHeight="1" outlineLevel="1" x14ac:dyDescent="0.45">
      <c r="B108" s="62" t="s">
        <v>93</v>
      </c>
      <c r="C108" s="71"/>
      <c r="D108" s="71"/>
      <c r="F108" s="72"/>
    </row>
    <row r="109" spans="2:6" ht="30" hidden="1" customHeight="1" outlineLevel="1" x14ac:dyDescent="0.45">
      <c r="B109" s="62" t="s">
        <v>93</v>
      </c>
      <c r="C109" s="71"/>
      <c r="D109" s="71"/>
      <c r="F109" s="72"/>
    </row>
    <row r="110" spans="2:6" ht="30" hidden="1" customHeight="1" outlineLevel="1" x14ac:dyDescent="0.45">
      <c r="B110" s="62" t="s">
        <v>93</v>
      </c>
      <c r="C110" s="71"/>
      <c r="D110" s="71"/>
      <c r="F110" s="72"/>
    </row>
    <row r="111" spans="2:6" ht="30" hidden="1" customHeight="1" outlineLevel="1" x14ac:dyDescent="0.45">
      <c r="B111" s="62" t="s">
        <v>93</v>
      </c>
      <c r="C111" s="71"/>
      <c r="D111" s="71"/>
      <c r="F111" s="72"/>
    </row>
    <row r="112" spans="2:6" ht="30" customHeight="1" collapsed="1" x14ac:dyDescent="0.45">
      <c r="B112" s="6" t="s">
        <v>13</v>
      </c>
      <c r="C112" s="69"/>
      <c r="D112" s="69"/>
      <c r="F112" s="68"/>
    </row>
    <row r="113" spans="2:6" ht="30.95" hidden="1" customHeight="1" outlineLevel="1" x14ac:dyDescent="0.45">
      <c r="B113" s="63" t="s">
        <v>94</v>
      </c>
      <c r="C113" s="71"/>
      <c r="D113" s="71"/>
      <c r="F113" s="72"/>
    </row>
    <row r="114" spans="2:6" ht="30.95" hidden="1" customHeight="1" outlineLevel="1" x14ac:dyDescent="0.45">
      <c r="B114" s="63" t="s">
        <v>94</v>
      </c>
      <c r="C114" s="71"/>
      <c r="D114" s="71"/>
      <c r="F114" s="72"/>
    </row>
    <row r="115" spans="2:6" ht="30.95" hidden="1" customHeight="1" outlineLevel="1" x14ac:dyDescent="0.45">
      <c r="B115" s="63" t="s">
        <v>94</v>
      </c>
      <c r="C115" s="71"/>
      <c r="D115" s="71"/>
      <c r="F115" s="72"/>
    </row>
    <row r="116" spans="2:6" ht="30.95" hidden="1" customHeight="1" outlineLevel="1" x14ac:dyDescent="0.45">
      <c r="B116" s="63" t="s">
        <v>94</v>
      </c>
      <c r="C116" s="71"/>
      <c r="D116" s="71"/>
      <c r="F116" s="72"/>
    </row>
    <row r="117" spans="2:6" ht="30" customHeight="1" collapsed="1" x14ac:dyDescent="0.45">
      <c r="B117" s="6" t="s">
        <v>14</v>
      </c>
      <c r="C117" s="69"/>
      <c r="D117" s="69"/>
      <c r="F117" s="68"/>
    </row>
    <row r="118" spans="2:6" ht="30" hidden="1" customHeight="1" outlineLevel="1" x14ac:dyDescent="0.45">
      <c r="B118" s="63" t="s">
        <v>95</v>
      </c>
      <c r="C118" s="71"/>
      <c r="D118" s="71"/>
      <c r="F118" s="72"/>
    </row>
    <row r="119" spans="2:6" ht="30" hidden="1" customHeight="1" outlineLevel="1" x14ac:dyDescent="0.45">
      <c r="B119" s="63" t="s">
        <v>95</v>
      </c>
      <c r="C119" s="71"/>
      <c r="D119" s="71"/>
      <c r="F119" s="72"/>
    </row>
    <row r="120" spans="2:6" ht="30" hidden="1" customHeight="1" outlineLevel="1" x14ac:dyDescent="0.45">
      <c r="B120" s="63" t="s">
        <v>95</v>
      </c>
      <c r="C120" s="71"/>
      <c r="D120" s="71"/>
      <c r="F120" s="72"/>
    </row>
    <row r="121" spans="2:6" ht="30" hidden="1" customHeight="1" outlineLevel="1" x14ac:dyDescent="0.45">
      <c r="B121" s="63" t="s">
        <v>95</v>
      </c>
      <c r="C121" s="71"/>
      <c r="D121" s="71"/>
      <c r="F121" s="72"/>
    </row>
    <row r="122" spans="2:6" ht="30" customHeight="1" collapsed="1" x14ac:dyDescent="0.45">
      <c r="B122" s="11" t="s">
        <v>15</v>
      </c>
      <c r="C122" s="69"/>
      <c r="D122" s="69"/>
      <c r="F122" s="68"/>
    </row>
    <row r="123" spans="2:6" ht="30" hidden="1" customHeight="1" outlineLevel="1" x14ac:dyDescent="0.45">
      <c r="B123" s="62" t="s">
        <v>96</v>
      </c>
      <c r="C123" s="71"/>
      <c r="D123" s="71"/>
      <c r="F123" s="72"/>
    </row>
    <row r="124" spans="2:6" ht="30" hidden="1" customHeight="1" outlineLevel="1" x14ac:dyDescent="0.45">
      <c r="B124" s="62" t="s">
        <v>96</v>
      </c>
      <c r="C124" s="71"/>
      <c r="D124" s="71"/>
      <c r="F124" s="72"/>
    </row>
    <row r="125" spans="2:6" ht="30" hidden="1" customHeight="1" outlineLevel="1" x14ac:dyDescent="0.45">
      <c r="B125" s="62" t="s">
        <v>96</v>
      </c>
      <c r="C125" s="71"/>
      <c r="D125" s="71"/>
      <c r="F125" s="72"/>
    </row>
    <row r="126" spans="2:6" ht="30" hidden="1" customHeight="1" outlineLevel="1" x14ac:dyDescent="0.45">
      <c r="B126" s="62" t="s">
        <v>96</v>
      </c>
      <c r="C126" s="71"/>
      <c r="D126" s="71"/>
      <c r="F126" s="72"/>
    </row>
    <row r="127" spans="2:6" ht="30" customHeight="1" collapsed="1" x14ac:dyDescent="0.45">
      <c r="B127" s="11" t="s">
        <v>16</v>
      </c>
      <c r="C127" s="69"/>
      <c r="D127" s="69"/>
      <c r="F127" s="68"/>
    </row>
    <row r="128" spans="2:6" ht="30" hidden="1" customHeight="1" outlineLevel="1" x14ac:dyDescent="0.45">
      <c r="B128" s="62" t="s">
        <v>97</v>
      </c>
      <c r="C128" s="71"/>
      <c r="D128" s="71"/>
      <c r="F128" s="72"/>
    </row>
    <row r="129" spans="2:10" ht="30" hidden="1" customHeight="1" outlineLevel="1" x14ac:dyDescent="0.45">
      <c r="B129" s="62" t="s">
        <v>97</v>
      </c>
      <c r="C129" s="71"/>
      <c r="D129" s="71"/>
      <c r="F129" s="72"/>
    </row>
    <row r="130" spans="2:10" ht="30" hidden="1" customHeight="1" outlineLevel="1" x14ac:dyDescent="0.45">
      <c r="B130" s="62" t="s">
        <v>97</v>
      </c>
      <c r="C130" s="71"/>
      <c r="D130" s="71"/>
      <c r="F130" s="72"/>
    </row>
    <row r="131" spans="2:10" ht="30" hidden="1" customHeight="1" outlineLevel="1" x14ac:dyDescent="0.45">
      <c r="B131" s="62" t="s">
        <v>97</v>
      </c>
      <c r="C131" s="71"/>
      <c r="D131" s="71"/>
      <c r="F131" s="72"/>
    </row>
    <row r="132" spans="2:10" ht="30" customHeight="1" collapsed="1" x14ac:dyDescent="0.45">
      <c r="B132" s="11" t="s">
        <v>189</v>
      </c>
      <c r="C132" s="69"/>
      <c r="D132" s="69"/>
      <c r="F132" s="68"/>
    </row>
    <row r="133" spans="2:10" ht="30" hidden="1" customHeight="1" outlineLevel="1" x14ac:dyDescent="0.45">
      <c r="B133" s="62" t="s">
        <v>99</v>
      </c>
      <c r="C133" s="71"/>
      <c r="D133" s="71"/>
      <c r="F133" s="72"/>
    </row>
    <row r="134" spans="2:10" ht="30" hidden="1" customHeight="1" outlineLevel="1" x14ac:dyDescent="0.45">
      <c r="B134" s="62" t="s">
        <v>99</v>
      </c>
      <c r="C134" s="71"/>
      <c r="D134" s="71"/>
      <c r="F134" s="72"/>
    </row>
    <row r="135" spans="2:10" ht="30" hidden="1" customHeight="1" outlineLevel="1" x14ac:dyDescent="0.45">
      <c r="B135" s="62" t="s">
        <v>99</v>
      </c>
      <c r="C135" s="71"/>
      <c r="D135" s="71"/>
      <c r="F135" s="72"/>
    </row>
    <row r="136" spans="2:10" ht="30" hidden="1" customHeight="1" outlineLevel="1" x14ac:dyDescent="0.45">
      <c r="B136" s="62" t="s">
        <v>99</v>
      </c>
      <c r="C136" s="71"/>
      <c r="D136" s="71"/>
      <c r="F136" s="72"/>
    </row>
    <row r="137" spans="2:10" ht="30" customHeight="1" collapsed="1" x14ac:dyDescent="0.45">
      <c r="B137" s="11" t="s">
        <v>188</v>
      </c>
      <c r="C137" s="69"/>
      <c r="D137" s="69"/>
      <c r="E137" s="24"/>
      <c r="F137" s="68"/>
      <c r="H137" s="469" t="str">
        <f>IF(D137&lt;0,"NB! Dersom netto rentekostnad blir negativ skal den regnes den som null","")</f>
        <v/>
      </c>
      <c r="I137" s="469"/>
      <c r="J137" s="469"/>
    </row>
    <row r="138" spans="2:10" ht="30" hidden="1" customHeight="1" outlineLevel="1" x14ac:dyDescent="0.45">
      <c r="B138" s="62" t="s">
        <v>98</v>
      </c>
      <c r="C138" s="71"/>
      <c r="D138" s="71"/>
      <c r="F138" s="72"/>
    </row>
    <row r="139" spans="2:10" ht="30" hidden="1" customHeight="1" outlineLevel="1" x14ac:dyDescent="0.45">
      <c r="B139" s="62" t="s">
        <v>98</v>
      </c>
      <c r="C139" s="71"/>
      <c r="D139" s="71"/>
      <c r="F139" s="72"/>
    </row>
    <row r="140" spans="2:10" ht="30" hidden="1" customHeight="1" outlineLevel="1" x14ac:dyDescent="0.45">
      <c r="B140" s="62" t="s">
        <v>98</v>
      </c>
      <c r="C140" s="71"/>
      <c r="D140" s="71"/>
      <c r="F140" s="72"/>
    </row>
    <row r="141" spans="2:10" ht="30" hidden="1" customHeight="1" outlineLevel="1" x14ac:dyDescent="0.45">
      <c r="B141" s="62" t="s">
        <v>98</v>
      </c>
      <c r="C141" s="71"/>
      <c r="D141" s="71"/>
      <c r="F141" s="72"/>
    </row>
    <row r="142" spans="2:10" s="27" customFormat="1" ht="33" customHeight="1" collapsed="1" x14ac:dyDescent="0.45">
      <c r="B142" s="11" t="s">
        <v>190</v>
      </c>
      <c r="C142" s="69"/>
      <c r="D142" s="69"/>
      <c r="E142" s="24"/>
      <c r="F142" s="68"/>
    </row>
    <row r="143" spans="2:10" s="27" customFormat="1" ht="33" hidden="1" customHeight="1" outlineLevel="1" x14ac:dyDescent="0.45">
      <c r="B143" s="62" t="s">
        <v>365</v>
      </c>
      <c r="C143" s="71"/>
      <c r="D143" s="71"/>
      <c r="E143" s="3"/>
      <c r="F143" s="72"/>
    </row>
    <row r="144" spans="2:10" s="27" customFormat="1" ht="33" hidden="1" customHeight="1" outlineLevel="1" x14ac:dyDescent="0.45">
      <c r="B144" s="62" t="s">
        <v>365</v>
      </c>
      <c r="C144" s="71"/>
      <c r="D144" s="71"/>
      <c r="E144" s="3"/>
      <c r="F144" s="72"/>
    </row>
    <row r="145" spans="2:6" s="27" customFormat="1" ht="33" hidden="1" customHeight="1" outlineLevel="1" x14ac:dyDescent="0.45">
      <c r="B145" s="62" t="s">
        <v>365</v>
      </c>
      <c r="C145" s="71"/>
      <c r="D145" s="71"/>
      <c r="E145" s="3"/>
      <c r="F145" s="72"/>
    </row>
    <row r="146" spans="2:6" s="27" customFormat="1" ht="33" hidden="1" customHeight="1" outlineLevel="1" x14ac:dyDescent="0.45">
      <c r="B146" s="62" t="s">
        <v>365</v>
      </c>
      <c r="C146" s="71"/>
      <c r="D146" s="71"/>
      <c r="E146" s="3"/>
      <c r="F146" s="72"/>
    </row>
    <row r="147" spans="2:6" s="27" customFormat="1" ht="33" customHeight="1" collapsed="1" x14ac:dyDescent="0.45">
      <c r="B147" s="11" t="s">
        <v>191</v>
      </c>
      <c r="C147" s="69"/>
      <c r="D147" s="69"/>
      <c r="E147" s="24"/>
      <c r="F147" s="68"/>
    </row>
    <row r="148" spans="2:6" s="27" customFormat="1" ht="33" hidden="1" customHeight="1" outlineLevel="1" x14ac:dyDescent="0.45">
      <c r="B148" s="62" t="s">
        <v>366</v>
      </c>
      <c r="C148" s="71"/>
      <c r="D148" s="71"/>
      <c r="E148" s="3"/>
      <c r="F148" s="72"/>
    </row>
    <row r="149" spans="2:6" s="27" customFormat="1" ht="33" hidden="1" customHeight="1" outlineLevel="1" x14ac:dyDescent="0.45">
      <c r="B149" s="62" t="s">
        <v>366</v>
      </c>
      <c r="C149" s="71"/>
      <c r="D149" s="71"/>
      <c r="E149" s="3"/>
      <c r="F149" s="72"/>
    </row>
    <row r="150" spans="2:6" s="27" customFormat="1" ht="33" hidden="1" customHeight="1" outlineLevel="1" x14ac:dyDescent="0.45">
      <c r="B150" s="62" t="s">
        <v>366</v>
      </c>
      <c r="C150" s="71"/>
      <c r="D150" s="71"/>
      <c r="E150" s="3"/>
      <c r="F150" s="72"/>
    </row>
    <row r="151" spans="2:6" s="27" customFormat="1" ht="33" hidden="1" customHeight="1" outlineLevel="1" x14ac:dyDescent="0.45">
      <c r="B151" s="62" t="s">
        <v>366</v>
      </c>
      <c r="C151" s="71"/>
      <c r="D151" s="71"/>
      <c r="E151" s="3"/>
      <c r="F151" s="72"/>
    </row>
    <row r="152" spans="2:6" ht="30" customHeight="1" collapsed="1" x14ac:dyDescent="0.45">
      <c r="D152" s="1"/>
      <c r="E152" s="1"/>
    </row>
    <row r="153" spans="2:6" x14ac:dyDescent="0.45">
      <c r="B153" s="8"/>
      <c r="C153" s="8"/>
    </row>
    <row r="154" spans="2:6" ht="33" customHeight="1" x14ac:dyDescent="0.45">
      <c r="B154" s="171" t="s">
        <v>109</v>
      </c>
      <c r="C154" s="168"/>
      <c r="D154" s="180">
        <f>D82+D87+D92+D97+D102+D107+D112+D117+D122+D127+D132+D137+D142+D147</f>
        <v>0</v>
      </c>
    </row>
    <row r="155" spans="2:6" ht="26.25" customHeight="1" x14ac:dyDescent="0.45">
      <c r="B155" s="51"/>
      <c r="C155" s="51"/>
      <c r="D155" s="379"/>
      <c r="E155" s="5"/>
      <c r="F155" s="4"/>
    </row>
    <row r="156" spans="2:6" ht="19.5" customHeight="1" x14ac:dyDescent="0.45"/>
    <row r="157" spans="2:6" ht="19.5" customHeight="1" x14ac:dyDescent="0.55000000000000004">
      <c r="B157" s="20" t="s">
        <v>320</v>
      </c>
    </row>
    <row r="158" spans="2:6" ht="18" customHeight="1" x14ac:dyDescent="0.45">
      <c r="B158" s="199"/>
    </row>
    <row r="159" spans="2:6" ht="47.25" customHeight="1" x14ac:dyDescent="0.45">
      <c r="B159" s="473" t="s">
        <v>339</v>
      </c>
      <c r="C159" s="474"/>
      <c r="D159" s="475"/>
    </row>
    <row r="160" spans="2:6" ht="12.75" customHeight="1" x14ac:dyDescent="0.45">
      <c r="B160" s="199"/>
    </row>
    <row r="161" spans="2:6" ht="30" customHeight="1" x14ac:dyDescent="0.45">
      <c r="B161" s="6" t="s">
        <v>187</v>
      </c>
      <c r="C161" s="27"/>
      <c r="D161" s="292"/>
    </row>
    <row r="162" spans="2:6" ht="30" customHeight="1" x14ac:dyDescent="0.45">
      <c r="B162" s="459" t="str">
        <f>IF(D161="Nei","Ikke relevant","Er foretaket pålagt skjenkestopp, eller å holde stengt iht covid-19 forskriften, eller tilsvarende kommunale forskrifter?")</f>
        <v>Er foretaket pålagt skjenkestopp, eller å holde stengt iht covid-19 forskriften, eller tilsvarende kommunale forskrifter?</v>
      </c>
      <c r="C162" s="459"/>
      <c r="D162" s="292"/>
      <c r="F162" s="53" t="str">
        <f>IF(D162="Nei","Foretaket kan ikke søke om kompensasjon for tapt varelager","")</f>
        <v/>
      </c>
    </row>
    <row r="163" spans="2:6" ht="31.5" customHeight="1" x14ac:dyDescent="0.45">
      <c r="B163" s="459" t="str">
        <f>IF(D161="Nei","Ikke relavant","Er varene (som søkes kompensert) ferskvare som næringsmidler, andre bederverlige varer 
eller andre planter?")</f>
        <v>Er varene (som søkes kompensert) ferskvare som næringsmidler, andre bederverlige varer 
eller andre planter?</v>
      </c>
      <c r="C163" s="459"/>
      <c r="D163" s="292"/>
      <c r="F163" s="53" t="str">
        <f t="shared" ref="F163:F165" si="2">IF(D163="Nei","Foretaket kan ikke søke om kompensasjon for tapt varelager","")</f>
        <v/>
      </c>
    </row>
    <row r="164" spans="2:6" ht="30" customHeight="1" x14ac:dyDescent="0.45">
      <c r="B164" s="6" t="str">
        <f>IF(D161="Nei","Ikke relevant","Ble varene bestilt før pålegg om skjenkestopp og/eller å holde stengt?")</f>
        <v>Ble varene bestilt før pålegg om skjenkestopp og/eller å holde stengt?</v>
      </c>
      <c r="C164" s="27"/>
      <c r="D164" s="401"/>
      <c r="F164" s="53" t="str">
        <f t="shared" si="2"/>
        <v/>
      </c>
    </row>
    <row r="165" spans="2:6" ht="30" customHeight="1" x14ac:dyDescent="0.45">
      <c r="B165" s="472" t="str">
        <f>IF(D161="Nei","Ikke relevant","Går varene ut på dato, eller forringes slik at de ikke holder salgbar kvalitet, i løpet av den nedstengte perioden, eller innen 14 dager etter opphør av skjenkestopp og/eller stenging?")</f>
        <v>Går varene ut på dato, eller forringes slik at de ikke holder salgbar kvalitet, i løpet av den nedstengte perioden, eller innen 14 dager etter opphør av skjenkestopp og/eller stenging?</v>
      </c>
      <c r="C165" s="472"/>
      <c r="D165" s="292"/>
      <c r="F165" s="53" t="str">
        <f t="shared" si="2"/>
        <v/>
      </c>
    </row>
    <row r="166" spans="2:6" ht="19.5" customHeight="1" x14ac:dyDescent="0.45">
      <c r="D166" s="207"/>
    </row>
    <row r="167" spans="2:6" ht="25.5" customHeight="1" x14ac:dyDescent="0.45">
      <c r="B167" s="6" t="str">
        <f>IF(D161="Nei","Ikke relevant","Oppgi varelagerets anskaffelseskostnad eksklusive særavgifter og fradragsberettiget mva")</f>
        <v>Oppgi varelagerets anskaffelseskostnad eksklusive særavgifter og fradragsberettiget mva</v>
      </c>
      <c r="C167" s="27"/>
      <c r="D167" s="200"/>
      <c r="F167" s="68"/>
    </row>
    <row r="168" spans="2:6" ht="15.75" customHeight="1" x14ac:dyDescent="0.45">
      <c r="B168" s="6"/>
      <c r="C168" s="27"/>
      <c r="D168" s="208"/>
    </row>
    <row r="169" spans="2:6" ht="30.75" customHeight="1" x14ac:dyDescent="0.45">
      <c r="B169" s="472" t="str">
        <f>IF(D161="Nei","Ikke relevant","Har foretaket allerede mottatt erstatning for dette varelageret gjennom forsikringsordning
 eller andre kilder?")</f>
        <v>Har foretaket allerede mottatt erstatning for dette varelageret gjennom forsikringsordning
 eller andre kilder?</v>
      </c>
      <c r="C169" s="472"/>
      <c r="D169" s="292"/>
    </row>
    <row r="170" spans="2:6" ht="30" customHeight="1" x14ac:dyDescent="0.45">
      <c r="B170" s="6" t="str">
        <f>IF(OR(D161="Nei",D169="Nei"),"Ikke relevant","Oppi allerede mottatt erstatningsbeløp")</f>
        <v>Oppi allerede mottatt erstatningsbeløp</v>
      </c>
      <c r="C170" s="27"/>
      <c r="D170" s="200">
        <v>0</v>
      </c>
      <c r="F170" s="68"/>
    </row>
    <row r="171" spans="2:6" ht="19.5" customHeight="1" x14ac:dyDescent="0.45">
      <c r="D171" s="207"/>
    </row>
    <row r="172" spans="2:6" ht="30.75" customHeight="1" x14ac:dyDescent="0.45">
      <c r="B172" s="172" t="s">
        <v>273</v>
      </c>
      <c r="C172" s="273"/>
      <c r="D172" s="205">
        <f>IF(D24="Mars og april 2021",D167-D170,0)</f>
        <v>0</v>
      </c>
    </row>
    <row r="173" spans="2:6" ht="30.75" customHeight="1" x14ac:dyDescent="0.45">
      <c r="B173" s="274" t="s">
        <v>274</v>
      </c>
      <c r="C173" s="179"/>
      <c r="D173" s="275">
        <f>IF(D172&gt;D46,D46,D172)</f>
        <v>0</v>
      </c>
      <c r="F173" s="269" t="str">
        <f>IF(D172&gt;D46,"Erstatningsbeløpet kan ikke overstige beregnet omsetningsfall målt i kroner","")</f>
        <v/>
      </c>
    </row>
    <row r="174" spans="2:6" ht="19.5" customHeight="1" x14ac:dyDescent="0.45">
      <c r="B174" s="4"/>
      <c r="C174" s="4"/>
      <c r="D174" s="5"/>
      <c r="E174" s="5"/>
      <c r="F174" s="4"/>
    </row>
    <row r="175" spans="2:6" ht="13.5" customHeight="1" x14ac:dyDescent="0.45">
      <c r="B175" s="92"/>
      <c r="C175" s="92"/>
      <c r="D175" s="34"/>
    </row>
    <row r="176" spans="2:6" ht="24" customHeight="1" x14ac:dyDescent="0.55000000000000004">
      <c r="B176" s="20" t="s">
        <v>146</v>
      </c>
      <c r="C176" s="9"/>
      <c r="D176" s="1"/>
      <c r="F176" s="26"/>
    </row>
    <row r="177" spans="2:8" ht="15" customHeight="1" x14ac:dyDescent="0.55000000000000004">
      <c r="B177" s="20"/>
      <c r="C177" s="9"/>
      <c r="D177" s="15"/>
      <c r="F177" s="26"/>
    </row>
    <row r="178" spans="2:8" ht="26.85" customHeight="1" x14ac:dyDescent="0.45">
      <c r="B178" s="6" t="s">
        <v>31</v>
      </c>
      <c r="C178" s="27"/>
      <c r="D178" s="166">
        <f>IF(D24="Juli og august 2021",IF(OR(D43=0,D154=0),0,(D45-0.3)*(D154)*D28),IF(D24="September og oktober 2021",IF(OR(D43=0,D154=0),0,(D45-0.4)*(D154)*D28),IF(OR(D43=0,D154=0),0,(D45)*(D154)*D28)))</f>
        <v>0</v>
      </c>
      <c r="E178" s="24"/>
      <c r="F178" s="52"/>
    </row>
    <row r="179" spans="2:8" ht="26.85" customHeight="1" x14ac:dyDescent="0.45">
      <c r="B179" s="6" t="s">
        <v>367</v>
      </c>
      <c r="C179" s="27"/>
      <c r="D179" s="166">
        <f>(IF(D46=0,0,D46))</f>
        <v>0</v>
      </c>
      <c r="E179" s="24"/>
      <c r="F179" s="189" t="str">
        <f>(IF(D179&lt;D178,"Kompensasjon begrenses til omsetningsreduksjon målt i kr",""))</f>
        <v/>
      </c>
    </row>
    <row r="180" spans="2:8" ht="26.85" customHeight="1" x14ac:dyDescent="0.45">
      <c r="B180" s="6" t="s">
        <v>368</v>
      </c>
      <c r="C180" s="27"/>
      <c r="D180" s="166">
        <f>IF(D75=0,0,D75)</f>
        <v>0</v>
      </c>
      <c r="E180" s="24"/>
      <c r="F180" s="189" t="str">
        <f>IF(D180&lt;D178,"Kompensasjon begrenses av driftsresultatet målt i kroner","")</f>
        <v/>
      </c>
    </row>
    <row r="181" spans="2:8" ht="26.85" customHeight="1" x14ac:dyDescent="0.45">
      <c r="B181" s="6" t="s">
        <v>369</v>
      </c>
      <c r="C181" s="27"/>
      <c r="D181" s="166">
        <f>IF((D74*-1-D173)*D56&gt;0,(D74*-1-D173)*D56,0)</f>
        <v>0</v>
      </c>
      <c r="E181" s="24"/>
      <c r="F181" s="189" t="str">
        <f>IF(D167="","",IF(D181&lt;D178,"Kompensasjon begrenses for verdien av kompensert varelager",""))</f>
        <v/>
      </c>
    </row>
    <row r="182" spans="2:8" ht="26.85" customHeight="1" x14ac:dyDescent="0.45">
      <c r="B182" s="6" t="s">
        <v>370</v>
      </c>
      <c r="C182" s="27"/>
      <c r="D182" s="166">
        <f>IF(D178=0,0,IF(D178&lt;40000000,40000000,IF(D178&lt;100000000,(40000000+(D178-40000000)*0.5),100000000)))</f>
        <v>0</v>
      </c>
      <c r="E182" s="24"/>
      <c r="F182" s="189" t="str">
        <f>IF(D178=0,"",IF(D178&gt;=100000000,"Tilskuddet vil bli begrenset til maksbeløpet på 100 mill.",IF(D178&gt;40000000,"For tilskudd over 40 mill. vil beløpet over 40 mill. bli avkortet med en faktor på 0,5","")))</f>
        <v/>
      </c>
    </row>
    <row r="183" spans="2:8" ht="31.9" customHeight="1" x14ac:dyDescent="0.45">
      <c r="B183" s="470" t="s">
        <v>179</v>
      </c>
      <c r="C183" s="471"/>
      <c r="D183" s="377">
        <f>MINA(D178:D182)</f>
        <v>0</v>
      </c>
      <c r="E183" s="24"/>
      <c r="F183" s="192" t="str">
        <f>IF(AND(F179="",F180="",F181="",F182=""),"",_xlfn.XLOOKUP(D183,D178:D182,F178:F182))</f>
        <v/>
      </c>
      <c r="G183" s="35"/>
      <c r="H183" s="35"/>
    </row>
    <row r="184" spans="2:8" x14ac:dyDescent="0.45">
      <c r="B184" s="4"/>
      <c r="C184" s="4"/>
      <c r="D184" s="5"/>
      <c r="E184" s="5"/>
      <c r="F184" s="4"/>
    </row>
    <row r="186" spans="2:8" ht="25.5" customHeight="1" x14ac:dyDescent="0.55000000000000004">
      <c r="B186" s="20" t="s">
        <v>147</v>
      </c>
      <c r="F186" s="1" t="s">
        <v>20</v>
      </c>
    </row>
    <row r="187" spans="2:8" ht="18.399999999999999" customHeight="1" x14ac:dyDescent="0.45">
      <c r="B187" s="76" t="str">
        <f>HYPERLINK("https://lovdata.no/forskrift/2020-12-21-3085/§3-1","Ref forskriften § 3-1 (4)")</f>
        <v>Ref forskriften § 3-1 (4)</v>
      </c>
    </row>
    <row r="188" spans="2:8" s="27" customFormat="1" ht="30.95" customHeight="1" x14ac:dyDescent="0.45">
      <c r="B188" s="459" t="s">
        <v>6</v>
      </c>
      <c r="C188" s="459"/>
      <c r="D188" s="66"/>
      <c r="E188" s="24"/>
      <c r="F188" s="68"/>
    </row>
    <row r="189" spans="2:8" s="27" customFormat="1" ht="30.95" customHeight="1" x14ac:dyDescent="0.45">
      <c r="B189" s="459" t="str">
        <f>IF(D188="Nei","Ikke relevant","Vennligst angi ordinært resultat før skatt i 2019 (NB! bruk minustegn ved underskudd)")</f>
        <v>Vennligst angi ordinært resultat før skatt i 2019 (NB! bruk minustegn ved underskudd)</v>
      </c>
      <c r="C189" s="459"/>
      <c r="D189" s="69"/>
      <c r="E189" s="24"/>
      <c r="F189" s="68"/>
    </row>
    <row r="190" spans="2:8" ht="30.95" customHeight="1" x14ac:dyDescent="0.45">
      <c r="B190" s="459" t="str">
        <f>IF(D188="Nei","Ikke relevant","Vennligst angi antall måneder i 2019-regnskapet")</f>
        <v>Vennligst angi antall måneder i 2019-regnskapet</v>
      </c>
      <c r="C190" s="459"/>
      <c r="D190" s="69"/>
      <c r="F190" s="68"/>
    </row>
    <row r="191" spans="2:8" ht="30.95" customHeight="1" x14ac:dyDescent="0.45">
      <c r="B191" s="459" t="str">
        <f>IF(D188="Nei","Ikke relevant","Estimert gjennomsnittlig underskudd per måned")</f>
        <v>Estimert gjennomsnittlig underskudd per måned</v>
      </c>
      <c r="C191" s="459"/>
      <c r="D191" s="164" t="str">
        <f>IF(AND(D188="Ja",D190&lt;&gt;""),((D189/D190)),"")</f>
        <v/>
      </c>
    </row>
    <row r="192" spans="2:8" ht="13.5" customHeight="1" x14ac:dyDescent="0.45">
      <c r="B192" s="90"/>
      <c r="C192" s="90"/>
      <c r="D192" s="37"/>
    </row>
    <row r="193" spans="1:7" ht="30.95" customHeight="1" x14ac:dyDescent="0.45">
      <c r="B193" s="459" t="str">
        <f>IF(D188="Nei","Ikke relevant","Hadde foretaket et høyere gjennomsnittlig ordinært resultat før skatt i jan. og feb. 2020?")</f>
        <v>Hadde foretaket et høyere gjennomsnittlig ordinært resultat før skatt i jan. og feb. 2020?</v>
      </c>
      <c r="C193" s="459"/>
      <c r="D193" s="73"/>
      <c r="F193" s="68"/>
    </row>
    <row r="194" spans="1:7" ht="30.95" customHeight="1" x14ac:dyDescent="0.45">
      <c r="B194" s="459" t="str">
        <f>IF(D188="Nei","Ikke relevant",IF(D193="Nei","Ikke relevant","Vennligst angi gjennomsnittlig ordinært resultat før skatt per måned i perioden jan. og feb. 2020 (NB bruk minustegn ved underskudd)"))</f>
        <v>Vennligst angi gjennomsnittlig ordinært resultat før skatt per måned i perioden jan. og feb. 2020 (NB bruk minustegn ved underskudd)</v>
      </c>
      <c r="C194" s="459"/>
      <c r="D194" s="69"/>
      <c r="F194" s="68"/>
    </row>
    <row r="195" spans="1:7" ht="17.45" customHeight="1" x14ac:dyDescent="0.45">
      <c r="B195" s="33"/>
      <c r="C195" s="33"/>
      <c r="D195" s="28"/>
    </row>
    <row r="196" spans="1:7" ht="33" customHeight="1" x14ac:dyDescent="0.45">
      <c r="B196" s="171" t="s">
        <v>108</v>
      </c>
      <c r="C196" s="181"/>
      <c r="D196" s="191" t="str">
        <f>IF(D191="","",IF(D45="","",D45*(D154+(IF(AND(D194&lt;&gt;"",D194*2&gt;D191*2),D194*2,D191*2)))))</f>
        <v/>
      </c>
      <c r="F196" s="24"/>
    </row>
    <row r="197" spans="1:7" ht="18" customHeight="1" x14ac:dyDescent="0.45">
      <c r="A197" s="12"/>
      <c r="B197" s="48"/>
      <c r="C197" s="48"/>
      <c r="D197" s="49"/>
      <c r="E197" s="5"/>
      <c r="F197" s="4"/>
    </row>
    <row r="198" spans="1:7" ht="18" customHeight="1" x14ac:dyDescent="0.45">
      <c r="A198" s="12"/>
      <c r="B198" s="29"/>
      <c r="C198" s="29"/>
      <c r="D198" s="30"/>
      <c r="E198" s="13"/>
    </row>
    <row r="199" spans="1:7" ht="23.25" customHeight="1" x14ac:dyDescent="0.55000000000000004">
      <c r="B199" s="20" t="s">
        <v>336</v>
      </c>
    </row>
    <row r="200" spans="1:7" x14ac:dyDescent="0.45">
      <c r="D200" s="38"/>
    </row>
    <row r="201" spans="1:7" ht="33.4" customHeight="1" x14ac:dyDescent="0.45">
      <c r="B201" s="182" t="s">
        <v>371</v>
      </c>
      <c r="C201" s="168"/>
      <c r="D201" s="180">
        <f>IF(D183+D173=0,0,IF(D183&lt;D196,D183,D196))</f>
        <v>0</v>
      </c>
      <c r="E201" s="24"/>
      <c r="F201" s="43" t="str">
        <f>IF(D201=0,"",IF(D183+D173&lt;=5000,"Tilskudd under 5 000 kr vil ikke bli utbetalt",IF(D183&gt;D196,"NB! Estimert tilskudd er begrenset av kontrollbeløpet for negativt ORFS","")))</f>
        <v/>
      </c>
    </row>
    <row r="202" spans="1:7" ht="20.65" customHeight="1" x14ac:dyDescent="0.45">
      <c r="B202" s="79"/>
      <c r="C202" s="82"/>
      <c r="D202" s="83"/>
      <c r="E202" s="24"/>
    </row>
    <row r="203" spans="1:7" ht="35.25" customHeight="1" x14ac:dyDescent="0.45">
      <c r="B203" s="457" t="s">
        <v>105</v>
      </c>
      <c r="C203" s="457"/>
      <c r="D203" s="66"/>
      <c r="E203" s="24"/>
      <c r="F203" s="68"/>
    </row>
    <row r="204" spans="1:7" ht="40.15" customHeight="1" x14ac:dyDescent="0.45">
      <c r="B204" s="457" t="str">
        <f>IF(D203="Ja","Angi hvor mye foretaket har mottatt i erstatning",IF(D203="Nei, men planlegger å søke","Merk at eventuelle fremtidige erstatninger skal komme til fratrekk i tilskuddet, og dersom tilskuddet utbetales før evt. forsikringssum, gir det grunnlag for tilbakebetaling",IF(D203="Nei, og kommer ikke til å søke","Ikke relevant","Eventuelle erstatningsoppgjør skal komme til fratrekk av tilskuddet")))</f>
        <v>Eventuelle erstatningsoppgjør skal komme til fratrekk av tilskuddet</v>
      </c>
      <c r="C204" s="464"/>
      <c r="D204" s="200"/>
      <c r="E204" s="24"/>
    </row>
    <row r="205" spans="1:7" ht="10.35" customHeight="1" thickBot="1" x14ac:dyDescent="0.5">
      <c r="B205" s="84"/>
      <c r="C205" s="84"/>
      <c r="D205" s="85"/>
      <c r="E205" s="24"/>
      <c r="F205" s="43"/>
    </row>
    <row r="206" spans="1:7" ht="35.65" customHeight="1" thickBot="1" x14ac:dyDescent="0.5">
      <c r="B206" s="178" t="s">
        <v>337</v>
      </c>
      <c r="C206" s="86"/>
      <c r="D206" s="165">
        <f>IF(D201&lt;=0,0,D201+D173-D204)</f>
        <v>0</v>
      </c>
      <c r="E206" s="24"/>
      <c r="F206" s="43" t="str">
        <f>IF(D201=0,"",IF(D206&lt;5000,"Tilskudd under 5 000 kr vil ikke bli utbetalt",""))</f>
        <v/>
      </c>
    </row>
    <row r="207" spans="1:7" ht="19.5" customHeight="1" x14ac:dyDescent="0.45">
      <c r="B207" s="4"/>
      <c r="C207" s="4"/>
      <c r="D207" s="5"/>
      <c r="E207" s="5"/>
      <c r="F207" s="4"/>
      <c r="G207" s="4"/>
    </row>
    <row r="210" spans="2:6" ht="18" x14ac:dyDescent="0.55000000000000004">
      <c r="B210" s="20" t="s">
        <v>321</v>
      </c>
    </row>
    <row r="211" spans="2:6" ht="19.5" customHeight="1" x14ac:dyDescent="0.45">
      <c r="B211" s="12"/>
      <c r="C211" s="12"/>
      <c r="D211" s="13"/>
      <c r="E211" s="13"/>
      <c r="F211" s="12"/>
    </row>
    <row r="212" spans="2:6" x14ac:dyDescent="0.45">
      <c r="B212" s="16" t="s">
        <v>35</v>
      </c>
    </row>
    <row r="213" spans="2:6" x14ac:dyDescent="0.45">
      <c r="B213" s="16" t="s">
        <v>36</v>
      </c>
    </row>
    <row r="214" spans="2:6" ht="8.25" customHeight="1" x14ac:dyDescent="0.45">
      <c r="B214" s="16"/>
    </row>
    <row r="215" spans="2:6" ht="30.75" customHeight="1" x14ac:dyDescent="0.45">
      <c r="B215" s="6" t="s">
        <v>33</v>
      </c>
      <c r="C215" s="27"/>
      <c r="D215" s="200"/>
      <c r="F215" s="68"/>
    </row>
    <row r="216" spans="2:6" ht="30.75" customHeight="1" x14ac:dyDescent="0.45">
      <c r="B216" s="6" t="s">
        <v>158</v>
      </c>
      <c r="C216" s="27"/>
      <c r="D216" s="164">
        <f>IF(D215&gt;12500,10000,D215*0.8)</f>
        <v>0</v>
      </c>
      <c r="F216" s="378" t="str">
        <f>IF(D215&gt;12500,"Refusjon begrenses til maksbeløpet på 10 000 kr per bekreftelse","")</f>
        <v/>
      </c>
    </row>
    <row r="217" spans="2:6" x14ac:dyDescent="0.45">
      <c r="B217" s="65"/>
      <c r="C217" s="27"/>
      <c r="D217" s="24"/>
      <c r="F217" s="12"/>
    </row>
    <row r="218" spans="2:6" ht="34.5" customHeight="1" x14ac:dyDescent="0.45">
      <c r="B218" s="179" t="s">
        <v>338</v>
      </c>
      <c r="C218" s="54"/>
      <c r="D218" s="201">
        <f>IF(D215&gt;12500,D206+10000,(D215*0.8)+D206)</f>
        <v>0</v>
      </c>
      <c r="E218" s="5"/>
    </row>
  </sheetData>
  <sheetProtection sheet="1" formatCells="0" formatColumns="0" formatRows="0" insertColumns="0" insertRows="0" selectLockedCells="1"/>
  <mergeCells count="36">
    <mergeCell ref="B203:C203"/>
    <mergeCell ref="B204:C204"/>
    <mergeCell ref="B194:C194"/>
    <mergeCell ref="B193:C193"/>
    <mergeCell ref="B191:C191"/>
    <mergeCell ref="H137:J137"/>
    <mergeCell ref="B183:C183"/>
    <mergeCell ref="B189:C189"/>
    <mergeCell ref="B190:C190"/>
    <mergeCell ref="B188:C188"/>
    <mergeCell ref="B162:C162"/>
    <mergeCell ref="B163:C163"/>
    <mergeCell ref="B165:C165"/>
    <mergeCell ref="B169:C169"/>
    <mergeCell ref="B159:D159"/>
    <mergeCell ref="B40:C40"/>
    <mergeCell ref="B41:C41"/>
    <mergeCell ref="C6:D6"/>
    <mergeCell ref="B15:C15"/>
    <mergeCell ref="B17:C17"/>
    <mergeCell ref="B18:C18"/>
    <mergeCell ref="B13:C13"/>
    <mergeCell ref="B14:C14"/>
    <mergeCell ref="B26:C26"/>
    <mergeCell ref="B25:C25"/>
    <mergeCell ref="B11:C11"/>
    <mergeCell ref="B28:C28"/>
    <mergeCell ref="B29:C29"/>
    <mergeCell ref="B19:C19"/>
    <mergeCell ref="B69:C69"/>
    <mergeCell ref="B70:C70"/>
    <mergeCell ref="B71:C71"/>
    <mergeCell ref="B62:C62"/>
    <mergeCell ref="B63:C63"/>
    <mergeCell ref="B67:C67"/>
    <mergeCell ref="B68:C68"/>
  </mergeCells>
  <phoneticPr fontId="13" type="noConversion"/>
  <conditionalFormatting sqref="D37:D38 D41:D42 F37 F41">
    <cfRule type="expression" dxfId="16" priority="71">
      <formula>$B37&lt;&gt;""</formula>
    </cfRule>
    <cfRule type="expression" dxfId="15" priority="72">
      <formula>$B37&lt;&gt;""</formula>
    </cfRule>
  </conditionalFormatting>
  <conditionalFormatting sqref="D195">
    <cfRule type="expression" dxfId="14" priority="26">
      <formula>$B195&lt;&gt;""</formula>
    </cfRule>
    <cfRule type="expression" dxfId="13" priority="27">
      <formula>$B195&lt;&gt;""</formula>
    </cfRule>
  </conditionalFormatting>
  <conditionalFormatting sqref="E196">
    <cfRule type="expression" dxfId="12" priority="22">
      <formula>$D$191&lt;&gt;""</formula>
    </cfRule>
  </conditionalFormatting>
  <conditionalFormatting sqref="A196">
    <cfRule type="expression" dxfId="11" priority="21">
      <formula>$D$191&lt;&gt;""</formula>
    </cfRule>
  </conditionalFormatting>
  <conditionalFormatting sqref="F51">
    <cfRule type="expression" dxfId="10" priority="1">
      <formula>$B51&lt;&gt;""</formula>
    </cfRule>
    <cfRule type="expression" dxfId="9" priority="2">
      <formula>$B51&lt;&gt;""</formula>
    </cfRule>
  </conditionalFormatting>
  <printOptions horizontalCentered="1" verticalCentered="1"/>
  <pageMargins left="0.23622047244094491" right="0.23622047244094491" top="0.35433070866141736" bottom="0.35433070866141736" header="0.31496062992125984" footer="0.31496062992125984"/>
  <pageSetup paperSize="9" orientation="landscape" r:id="rId1"/>
  <ignoredErrors>
    <ignoredError sqref="F15" 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6E67281-8DE6-48DB-A378-0994FE996523}">
          <x14:formula1>
            <xm:f>Lister!$B$2:$B$5</xm:f>
          </x14:formula1>
          <xm:sqref>D24</xm:sqref>
        </x14:dataValidation>
        <x14:dataValidation type="list" allowBlank="1" showInputMessage="1" showErrorMessage="1" xr:uid="{2DEFA273-F6A2-4069-8711-0D8A154B76B3}">
          <x14:formula1>
            <xm:f>Lister!$A$2:$A$3</xm:f>
          </x14:formula1>
          <xm:sqref>D26:D27 D188 D40 D58:D59 D193 D24 D13:D17</xm:sqref>
        </x14:dataValidation>
        <x14:dataValidation type="list" allowBlank="1" showInputMessage="1" showErrorMessage="1" xr:uid="{680BD8EE-B8C7-402B-99AF-64D39687565C}">
          <x14:formula1>
            <xm:f>Lister!$M$1:$M$3</xm:f>
          </x14:formula1>
          <xm:sqref>D18</xm:sqref>
        </x14:dataValidation>
        <x14:dataValidation type="list" allowBlank="1" showInputMessage="1" showErrorMessage="1" xr:uid="{FF047382-75EE-4077-BA66-7346857E8040}">
          <x14:formula1>
            <xm:f>Lister!$N$1:$N$3</xm:f>
          </x14:formula1>
          <xm:sqref>D11</xm:sqref>
        </x14:dataValidation>
        <x14:dataValidation type="list" allowBlank="1" showInputMessage="1" showErrorMessage="1" xr:uid="{77704496-CEF4-4903-8994-90A0BA885ACA}">
          <x14:formula1>
            <xm:f>Lister!$K$1:$K$2</xm:f>
          </x14:formula1>
          <xm:sqref>D25 D12 D10 D169 D161:D165</xm:sqref>
        </x14:dataValidation>
        <x14:dataValidation type="list" allowBlank="1" showInputMessage="1" showErrorMessage="1" xr:uid="{CC2B9E8F-B8D1-4654-830F-D750E1C76ACA}">
          <x14:formula1>
            <xm:f>Lister!$R$1:$R$3</xm:f>
          </x14:formula1>
          <xm:sqref>D203</xm:sqref>
        </x14:dataValidation>
        <x14:dataValidation type="list" allowBlank="1" showInputMessage="1" showErrorMessage="1" xr:uid="{F484E2BF-DAE6-498A-B923-21D6DA2EBA28}">
          <x14:formula1>
            <xm:f>Lister!$Z$2:$Z$4</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EC776-ADCF-4AF5-83AE-7D993572613A}">
  <dimension ref="B2:F16"/>
  <sheetViews>
    <sheetView showGridLines="0" workbookViewId="0">
      <selection activeCell="B6" sqref="B6"/>
    </sheetView>
  </sheetViews>
  <sheetFormatPr baseColWidth="10" defaultRowHeight="14.25" x14ac:dyDescent="0.45"/>
  <cols>
    <col min="2" max="2" width="21" customWidth="1"/>
    <col min="3" max="4" width="21" style="95" customWidth="1"/>
    <col min="5" max="5" width="30.86328125" style="95" bestFit="1" customWidth="1"/>
    <col min="6" max="6" width="11.265625" style="95" customWidth="1"/>
  </cols>
  <sheetData>
    <row r="2" spans="2:6" ht="21" x14ac:dyDescent="0.65">
      <c r="B2" s="419" t="s">
        <v>363</v>
      </c>
    </row>
    <row r="3" spans="2:6" x14ac:dyDescent="0.45">
      <c r="B3" s="280" t="s">
        <v>364</v>
      </c>
    </row>
    <row r="5" spans="2:6" x14ac:dyDescent="0.45">
      <c r="B5" s="416" t="s">
        <v>352</v>
      </c>
      <c r="C5" s="417" t="s">
        <v>353</v>
      </c>
      <c r="D5" s="417" t="s">
        <v>354</v>
      </c>
      <c r="E5" s="417" t="s">
        <v>355</v>
      </c>
      <c r="F5" s="418" t="s">
        <v>356</v>
      </c>
    </row>
    <row r="6" spans="2:6" ht="20.45" customHeight="1" x14ac:dyDescent="0.45">
      <c r="B6" s="420" t="s">
        <v>357</v>
      </c>
      <c r="C6" s="421">
        <v>150</v>
      </c>
      <c r="D6" s="421">
        <v>20</v>
      </c>
      <c r="E6" s="421" t="s">
        <v>358</v>
      </c>
      <c r="F6" s="428">
        <f>C6*D6</f>
        <v>3000</v>
      </c>
    </row>
    <row r="7" spans="2:6" ht="20.45" customHeight="1" x14ac:dyDescent="0.45">
      <c r="B7" s="422" t="s">
        <v>359</v>
      </c>
      <c r="C7" s="423">
        <v>30</v>
      </c>
      <c r="D7" s="423">
        <v>250</v>
      </c>
      <c r="E7" s="423" t="s">
        <v>360</v>
      </c>
      <c r="F7" s="429">
        <f>C7*D7</f>
        <v>7500</v>
      </c>
    </row>
    <row r="8" spans="2:6" ht="20.45" customHeight="1" x14ac:dyDescent="0.45">
      <c r="B8" s="422" t="s">
        <v>361</v>
      </c>
      <c r="C8" s="423"/>
      <c r="D8" s="423"/>
      <c r="E8" s="423"/>
      <c r="F8" s="429">
        <f t="shared" ref="F8:F14" si="0">C8*D8</f>
        <v>0</v>
      </c>
    </row>
    <row r="9" spans="2:6" ht="20.45" customHeight="1" x14ac:dyDescent="0.45">
      <c r="B9" s="422" t="s">
        <v>361</v>
      </c>
      <c r="C9" s="423"/>
      <c r="D9" s="423"/>
      <c r="E9" s="423"/>
      <c r="F9" s="429">
        <f t="shared" si="0"/>
        <v>0</v>
      </c>
    </row>
    <row r="10" spans="2:6" ht="20.45" customHeight="1" x14ac:dyDescent="0.45">
      <c r="B10" s="422" t="s">
        <v>361</v>
      </c>
      <c r="C10" s="423"/>
      <c r="D10" s="423"/>
      <c r="E10" s="423"/>
      <c r="F10" s="429">
        <f t="shared" si="0"/>
        <v>0</v>
      </c>
    </row>
    <row r="11" spans="2:6" ht="20.45" customHeight="1" x14ac:dyDescent="0.45">
      <c r="B11" s="422" t="s">
        <v>361</v>
      </c>
      <c r="C11" s="423"/>
      <c r="D11" s="423"/>
      <c r="E11" s="423"/>
      <c r="F11" s="429">
        <f t="shared" si="0"/>
        <v>0</v>
      </c>
    </row>
    <row r="12" spans="2:6" ht="20.45" customHeight="1" x14ac:dyDescent="0.45">
      <c r="B12" s="422" t="s">
        <v>361</v>
      </c>
      <c r="C12" s="423"/>
      <c r="D12" s="423"/>
      <c r="E12" s="423"/>
      <c r="F12" s="429">
        <f t="shared" si="0"/>
        <v>0</v>
      </c>
    </row>
    <row r="13" spans="2:6" ht="20.45" customHeight="1" x14ac:dyDescent="0.45">
      <c r="B13" s="422" t="s">
        <v>361</v>
      </c>
      <c r="C13" s="423"/>
      <c r="D13" s="423"/>
      <c r="E13" s="423"/>
      <c r="F13" s="429">
        <f t="shared" si="0"/>
        <v>0</v>
      </c>
    </row>
    <row r="14" spans="2:6" ht="20.45" customHeight="1" thickBot="1" x14ac:dyDescent="0.5">
      <c r="B14" s="424" t="s">
        <v>361</v>
      </c>
      <c r="C14" s="425"/>
      <c r="D14" s="425"/>
      <c r="E14" s="425"/>
      <c r="F14" s="430">
        <f t="shared" si="0"/>
        <v>0</v>
      </c>
    </row>
    <row r="15" spans="2:6" ht="30" customHeight="1" thickBot="1" x14ac:dyDescent="0.5">
      <c r="B15" s="426" t="s">
        <v>362</v>
      </c>
      <c r="C15" s="427"/>
      <c r="D15" s="427"/>
      <c r="E15" s="427"/>
      <c r="F15" s="431">
        <f>SUM(F6:F14)</f>
        <v>10500</v>
      </c>
    </row>
    <row r="16" spans="2:6" ht="14.65" thickTop="1" x14ac:dyDescent="0.4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34D8-DCFB-44C6-A721-A12A78B9683A}">
  <dimension ref="A1:K293"/>
  <sheetViews>
    <sheetView showGridLines="0" zoomScaleNormal="100" workbookViewId="0">
      <pane ySplit="5" topLeftCell="A6" activePane="bottomLeft" state="frozen"/>
      <selection pane="bottomLeft" activeCell="D8" sqref="D8"/>
    </sheetView>
  </sheetViews>
  <sheetFormatPr baseColWidth="10" defaultColWidth="10.73046875" defaultRowHeight="14.25" x14ac:dyDescent="0.45"/>
  <cols>
    <col min="1" max="1" width="3.265625" style="1" customWidth="1"/>
    <col min="2" max="2" width="48.86328125" style="1" customWidth="1"/>
    <col min="3" max="3" width="28.73046875" style="1" customWidth="1"/>
    <col min="4" max="4" width="35.73046875" style="3" customWidth="1"/>
    <col min="5" max="5" width="4.1328125" style="3" customWidth="1"/>
    <col min="6" max="6" width="65.1328125" style="1" customWidth="1"/>
    <col min="7" max="7" width="9.86328125" style="18" customWidth="1"/>
    <col min="8" max="8" width="2" style="1" customWidth="1"/>
    <col min="9" max="9" width="45.1328125" style="17" customWidth="1"/>
    <col min="10" max="10" width="12.73046875" style="1" customWidth="1"/>
    <col min="11" max="11" width="13" style="1" customWidth="1"/>
    <col min="12" max="16384" width="10.73046875" style="1"/>
  </cols>
  <sheetData>
    <row r="1" spans="2:9" ht="61.15" customHeight="1" x14ac:dyDescent="0.45"/>
    <row r="2" spans="2:9" ht="23.25" x14ac:dyDescent="0.7">
      <c r="B2" s="21" t="s">
        <v>38</v>
      </c>
      <c r="C2" s="14"/>
    </row>
    <row r="3" spans="2:9" ht="21" customHeight="1" x14ac:dyDescent="0.45">
      <c r="B3"/>
    </row>
    <row r="4" spans="2:9" ht="8.4499999999999993" customHeight="1" x14ac:dyDescent="0.45">
      <c r="B4" s="31"/>
    </row>
    <row r="5" spans="2:9" ht="24.75" customHeight="1" x14ac:dyDescent="0.45">
      <c r="B5" s="210" t="str">
        <f>IF([1]Beregningsmodell!C6="","",[1]Beregningsmodell!C6)</f>
        <v/>
      </c>
      <c r="F5" s="210" t="s">
        <v>196</v>
      </c>
      <c r="G5" s="252" t="s">
        <v>76</v>
      </c>
      <c r="H5" s="210"/>
      <c r="I5" s="263" t="s">
        <v>75</v>
      </c>
    </row>
    <row r="6" spans="2:9" ht="7.5" customHeight="1" x14ac:dyDescent="0.45"/>
    <row r="7" spans="2:9" ht="12.95" customHeight="1" x14ac:dyDescent="0.45">
      <c r="B7" s="23"/>
      <c r="C7" s="211"/>
      <c r="D7" s="211"/>
    </row>
    <row r="8" spans="2:9" ht="32.450000000000003" customHeight="1" x14ac:dyDescent="0.45">
      <c r="B8" s="7" t="s">
        <v>197</v>
      </c>
      <c r="C8" s="27"/>
      <c r="D8" s="74"/>
    </row>
    <row r="9" spans="2:9" ht="32.450000000000003" customHeight="1" x14ac:dyDescent="0.45">
      <c r="B9" s="6" t="s">
        <v>39</v>
      </c>
      <c r="C9" s="27"/>
      <c r="D9" s="66"/>
      <c r="F9" s="27"/>
      <c r="H9" s="27"/>
    </row>
    <row r="10" spans="2:9" ht="32.450000000000003" customHeight="1" x14ac:dyDescent="0.45">
      <c r="B10" s="212" t="str">
        <f>HYPERLINK("https://www.ssb.no/klass/klassifikasjoner/6","Hvilken næringskode er foretaket registrert med?")</f>
        <v>Hvilken næringskode er foretaket registrert med?</v>
      </c>
      <c r="C10" s="27"/>
      <c r="D10" s="66"/>
      <c r="F10" s="11" t="s">
        <v>70</v>
      </c>
      <c r="G10" s="75"/>
      <c r="H10" s="11"/>
      <c r="I10" s="88"/>
    </row>
    <row r="11" spans="2:9" ht="32.450000000000003" customHeight="1" x14ac:dyDescent="0.45">
      <c r="B11" s="6" t="s">
        <v>68</v>
      </c>
      <c r="C11" s="27"/>
      <c r="D11" s="66"/>
      <c r="F11" s="11" t="str">
        <f>IF(D11="Nei","Ikke relevant","Er det krysset av for at foretaket driver også med næring som ikke faller inn under valgt næringstype i søknadsskjemaet?")</f>
        <v>Er det krysset av for at foretaket driver også med næring som ikke faller inn under valgt næringstype i søknadsskjemaet?</v>
      </c>
      <c r="G11" s="75"/>
      <c r="H11" s="11"/>
      <c r="I11" s="88"/>
    </row>
    <row r="12" spans="2:9" ht="32.450000000000003" customHeight="1" x14ac:dyDescent="0.45">
      <c r="B12" s="6" t="s">
        <v>74</v>
      </c>
      <c r="C12" s="27"/>
      <c r="D12" s="66"/>
      <c r="F12" s="209" t="s">
        <v>195</v>
      </c>
      <c r="G12" s="75"/>
      <c r="H12" s="93"/>
      <c r="I12" s="88"/>
    </row>
    <row r="13" spans="2:9" ht="24" customHeight="1" x14ac:dyDescent="0.45">
      <c r="B13" s="4"/>
      <c r="C13" s="56"/>
      <c r="D13" s="5"/>
      <c r="E13" s="5"/>
      <c r="F13" s="4"/>
      <c r="G13" s="253"/>
      <c r="H13" s="4"/>
      <c r="I13" s="264"/>
    </row>
    <row r="14" spans="2:9" x14ac:dyDescent="0.45">
      <c r="C14" s="27"/>
    </row>
    <row r="15" spans="2:9" ht="18" x14ac:dyDescent="0.55000000000000004">
      <c r="B15" s="213" t="s">
        <v>26</v>
      </c>
      <c r="C15" s="9"/>
      <c r="G15" s="252"/>
      <c r="I15" s="263"/>
    </row>
    <row r="16" spans="2:9" x14ac:dyDescent="0.45">
      <c r="D16" s="2"/>
      <c r="I16" s="263"/>
    </row>
    <row r="17" spans="2:9" ht="31.9" customHeight="1" x14ac:dyDescent="0.45">
      <c r="B17" s="6" t="s">
        <v>3</v>
      </c>
      <c r="C17" s="6"/>
      <c r="D17" s="214" t="str">
        <f>IF(Beregningsmodell!D10="","",Beregningsmodell!D10)</f>
        <v/>
      </c>
    </row>
    <row r="18" spans="2:9" ht="31.9" customHeight="1" x14ac:dyDescent="0.45">
      <c r="B18" s="6"/>
      <c r="C18" s="6"/>
      <c r="D18" s="215"/>
      <c r="F18" s="11" t="str">
        <f>IF(AND(D9="Ansvarlig selskap (ANS/DA)",D19="Nei, men er eiers hovedinntektskilde"),"Var denne inntekten hovedinntektskilde for minst en av deltakerne i 2019, eller i januar og februar 2020?",IF(AND(D9="Enkeltpersonforetak (ENK)",D19="Nei, men er eiers hovedinntektskilde"),"Var denne inntekten hovedinntektskilde for innehaver i 2019, eller i januar og februar 2020?",IF(AND(D9="Aksjeselskap (AS)",D19="Nei, men er eiers hovedinntektskilde"),"NB! Det er angitt at foretaket ikke har ansatte, men er eiers hovedinntektskilde, da kan ikke organisasjonsformen være aksjeselskap (AS)","")))</f>
        <v/>
      </c>
      <c r="G18" s="75"/>
    </row>
    <row r="19" spans="2:9" ht="37.15" customHeight="1" x14ac:dyDescent="0.45">
      <c r="B19" s="459" t="s">
        <v>198</v>
      </c>
      <c r="C19" s="464"/>
      <c r="D19" s="214" t="str">
        <f>IF(Beregningsmodell!D11="","",Beregningsmodell!D11)</f>
        <v/>
      </c>
      <c r="F19" s="11" t="str">
        <f>IF(D19="Ja","Kontroller at en a-melding i perioden august 2019 til september 2020 viser at det er utbetalt lønn",IF(AND(D9="Ansvarlig selskap (ANS/DA)",G18="I 2019"),"Innhent skattemelding fra deltakeren som har inntekt fra foretaket som hovedinntektskilde og kontroller at den viser at inntekten fra det ansvarlige selskapet utgjorde minst 50 % av personinntekten for 2019",IF(AND(D9="Ansvarlig selskap (ANS/DA)",G18="I jan. og feb. 2020"),"Be deltakeren innhente «Mine inntekter og arbeidsforhold» fra Skatteetaten for januar og februar 2020, og kontroller at bokført arbeidsgodtgjørelse til deltakeren utgjorde minst 50 % av personinntekten i perioden",IF(AND(D9="Enkeltpersonforetak (ENK)",G18="I 2019"),"Innhent innehaverens skattemelding for 2019, og kontroller at den viser at inntekten fra foretaket utgjorde minst 50 % av personinntekten",IF(AND(D9="Enkeltpersonforetak (ENK)",G18="I jan. og feb. 2020"),"Be innehaver innhente -Mine inntekter og arbeidsforhold fra Skatteetaten- for jan og feb 2020, og kontroller at bokført driftsres.utgjorde minst 50 % av personinntekten i perioden. Fullverdig personinntektsberegning kan erstatte bokført driftsres.","Bekreft a-meldingen hvis ansatte, eller at inntekten er hovedinntektskilde og utgjør minst 50 prosent av personinntekten hvis EPF / ANS / DA")))))</f>
        <v>Bekreft a-meldingen hvis ansatte, eller at inntekten er hovedinntektskilde og utgjør minst 50 prosent av personinntekten hvis EPF / ANS / DA</v>
      </c>
      <c r="G19" s="75"/>
      <c r="H19" s="11"/>
      <c r="I19" s="88"/>
    </row>
    <row r="20" spans="2:9" ht="31.9" customHeight="1" x14ac:dyDescent="0.45">
      <c r="B20" s="6" t="s">
        <v>4</v>
      </c>
      <c r="C20" s="6"/>
      <c r="D20" s="214" t="str">
        <f>IF(Beregningsmodell!D12="","",Beregningsmodell!D12)</f>
        <v/>
      </c>
    </row>
    <row r="21" spans="2:9" ht="31.9" customHeight="1" x14ac:dyDescent="0.45">
      <c r="B21" s="459" t="s">
        <v>101</v>
      </c>
      <c r="C21" s="464"/>
      <c r="D21" s="214" t="str">
        <f>IF(Beregningsmodell!D13="","",Beregningsmodell!D13)</f>
        <v/>
      </c>
    </row>
    <row r="22" spans="2:9" ht="38.65" customHeight="1" x14ac:dyDescent="0.45">
      <c r="B22" s="459" t="s">
        <v>181</v>
      </c>
      <c r="C22" s="464"/>
      <c r="D22" s="214" t="str">
        <f>IF(Beregningsmodell!D14="","",Beregningsmodell!D14)</f>
        <v/>
      </c>
      <c r="F22" s="93" t="s">
        <v>350</v>
      </c>
      <c r="G22" s="75"/>
      <c r="H22" s="11"/>
      <c r="I22" s="88"/>
    </row>
    <row r="23" spans="2:9" ht="52.15" customHeight="1" x14ac:dyDescent="0.45">
      <c r="B23" s="93"/>
      <c r="C23" s="93"/>
      <c r="D23" s="215"/>
      <c r="F23" s="93" t="s">
        <v>349</v>
      </c>
      <c r="G23" s="75"/>
      <c r="H23" s="11"/>
      <c r="I23" s="88"/>
    </row>
    <row r="24" spans="2:9" ht="31.9" customHeight="1" x14ac:dyDescent="0.45">
      <c r="B24" s="459" t="s">
        <v>103</v>
      </c>
      <c r="C24" s="464"/>
      <c r="D24" s="214" t="str">
        <f>IF(Beregningsmodell!D15="","",Beregningsmodell!D15)</f>
        <v/>
      </c>
    </row>
    <row r="25" spans="2:9" ht="31.9" customHeight="1" x14ac:dyDescent="0.45">
      <c r="B25" s="216" t="s">
        <v>23</v>
      </c>
      <c r="C25" s="7"/>
      <c r="D25" s="214" t="str">
        <f>IF(Beregningsmodell!D16="","",Beregningsmodell!D16)</f>
        <v/>
      </c>
    </row>
    <row r="26" spans="2:9" ht="31.9" customHeight="1" x14ac:dyDescent="0.45">
      <c r="B26" s="459" t="s">
        <v>28</v>
      </c>
      <c r="C26" s="464"/>
      <c r="D26" s="214" t="str">
        <f>IF(Beregningsmodell!D17="","",Beregningsmodell!D17)</f>
        <v/>
      </c>
    </row>
    <row r="27" spans="2:9" ht="31.9" customHeight="1" x14ac:dyDescent="0.45">
      <c r="B27" s="459" t="s">
        <v>102</v>
      </c>
      <c r="C27" s="464"/>
      <c r="D27" s="214" t="str">
        <f>IF(Beregningsmodell!D18="","",Beregningsmodell!D18)</f>
        <v/>
      </c>
      <c r="F27" s="11" t="str">
        <f>IF(OR(D10="K - Finansierings- og forsikringsvirksomhet",D10="C - Industri",D10="D - Elektrisitets-, gass-, dap- og varmtvannsfosyning","H - Transport og lagring","Q - Helse- og sosialtjenester"),"Bekreft at foretaket ikke driver innen næringer som nevnt i forskriften $ 1-3 ","Kontroll hvis foretaket er registrert med en næringskode som indikerer at de ikke omfattes av ordningen")</f>
        <v>Kontroll hvis foretaket er registrert med en næringskode som indikerer at de ikke omfattes av ordningen</v>
      </c>
      <c r="G27" s="75"/>
      <c r="H27" s="11"/>
      <c r="I27" s="88"/>
    </row>
    <row r="28" spans="2:9" ht="31.9" customHeight="1" x14ac:dyDescent="0.45">
      <c r="B28" s="459" t="s">
        <v>100</v>
      </c>
      <c r="C28" s="464"/>
      <c r="D28" s="214" t="str">
        <f>IF(Beregningsmodell!D19="","",Beregningsmodell!D19)</f>
        <v/>
      </c>
      <c r="F28" s="11"/>
      <c r="H28" s="11"/>
      <c r="I28" s="217"/>
    </row>
    <row r="29" spans="2:9" ht="25.9" customHeight="1" x14ac:dyDescent="0.45">
      <c r="D29" s="1"/>
    </row>
    <row r="30" spans="2:9" ht="6.75" customHeight="1" x14ac:dyDescent="0.45">
      <c r="B30" s="4"/>
      <c r="C30" s="4"/>
      <c r="D30" s="5"/>
      <c r="E30" s="5"/>
      <c r="F30" s="4"/>
      <c r="G30" s="253"/>
      <c r="H30" s="4"/>
      <c r="I30" s="264"/>
    </row>
    <row r="32" spans="2:9" ht="18" x14ac:dyDescent="0.55000000000000004">
      <c r="B32" s="213" t="s">
        <v>24</v>
      </c>
      <c r="C32" s="9"/>
    </row>
    <row r="33" spans="2:9" x14ac:dyDescent="0.45">
      <c r="D33" s="1"/>
    </row>
    <row r="34" spans="2:9" ht="31.9" customHeight="1" x14ac:dyDescent="0.45">
      <c r="B34" s="6" t="s">
        <v>25</v>
      </c>
      <c r="C34" s="6"/>
      <c r="D34" s="214" t="str">
        <f>IF(Beregningsmodell!D24="","",Beregningsmodell!D24)</f>
        <v/>
      </c>
    </row>
    <row r="35" spans="2:9" ht="28.5" customHeight="1" x14ac:dyDescent="0.45">
      <c r="B35" s="459" t="s">
        <v>27</v>
      </c>
      <c r="C35" s="464"/>
      <c r="D35" s="214" t="str">
        <f>IF(Beregningsmodell!D25="","",Beregningsmodell!D25)</f>
        <v/>
      </c>
    </row>
    <row r="36" spans="2:9" ht="28.5" customHeight="1" x14ac:dyDescent="0.45">
      <c r="B36" s="459" t="str">
        <f>[1]Beregningsmodell!B27</f>
        <v>Mangler foretaket omsetningstall for tilsvarende periode året før (pga ingen omsetning og/eller restrukturering)?</v>
      </c>
      <c r="C36" s="464"/>
      <c r="D36" s="214" t="str">
        <f>IF(Beregningsmodell!D26="","",Beregningsmodell!D26)</f>
        <v/>
      </c>
      <c r="E36" s="39"/>
    </row>
    <row r="37" spans="2:9" ht="18.75" customHeight="1" x14ac:dyDescent="0.45">
      <c r="B37" s="93"/>
      <c r="C37" s="93"/>
      <c r="D37" s="1"/>
      <c r="E37" s="1"/>
    </row>
    <row r="38" spans="2:9" ht="26.45" customHeight="1" x14ac:dyDescent="0.45">
      <c r="B38" s="465" t="s">
        <v>112</v>
      </c>
      <c r="C38" s="466"/>
      <c r="D38" s="198" t="str">
        <f>Beregningsmodell!D28</f>
        <v/>
      </c>
    </row>
    <row r="39" spans="2:9" ht="26.45" customHeight="1" x14ac:dyDescent="0.45">
      <c r="B39" s="467" t="s">
        <v>113</v>
      </c>
      <c r="C39" s="468"/>
      <c r="D39" s="188" t="str">
        <f>Beregningsmodell!D29</f>
        <v/>
      </c>
    </row>
    <row r="40" spans="2:9" ht="26.45" customHeight="1" x14ac:dyDescent="0.45">
      <c r="B40" s="406"/>
      <c r="C40" s="406"/>
      <c r="D40" s="407"/>
    </row>
    <row r="41" spans="2:9" ht="26.45" customHeight="1" x14ac:dyDescent="0.45">
      <c r="B41" s="406"/>
      <c r="C41" s="406"/>
      <c r="D41" s="407"/>
      <c r="F41" s="47" t="s">
        <v>84</v>
      </c>
    </row>
    <row r="42" spans="2:9" ht="7.5" customHeight="1" x14ac:dyDescent="0.45">
      <c r="B42" s="406"/>
      <c r="C42" s="406"/>
      <c r="D42" s="407"/>
    </row>
    <row r="43" spans="2:9" ht="45.75" customHeight="1" x14ac:dyDescent="0.45">
      <c r="B43" s="406"/>
      <c r="C43" s="406"/>
      <c r="D43" s="407"/>
      <c r="F43" s="59" t="s">
        <v>211</v>
      </c>
    </row>
    <row r="44" spans="2:9" ht="17.45" customHeight="1" x14ac:dyDescent="0.45">
      <c r="B44" s="406"/>
      <c r="C44" s="406"/>
      <c r="D44" s="407"/>
      <c r="F44" s="485" t="s">
        <v>212</v>
      </c>
      <c r="G44" s="481"/>
      <c r="I44" s="483"/>
    </row>
    <row r="45" spans="2:9" ht="17.45" customHeight="1" x14ac:dyDescent="0.45">
      <c r="B45" s="406"/>
      <c r="C45" s="406"/>
      <c r="D45" s="407"/>
      <c r="F45" s="485"/>
      <c r="G45" s="482"/>
      <c r="I45" s="484"/>
    </row>
    <row r="46" spans="2:9" ht="17.45" customHeight="1" x14ac:dyDescent="0.45">
      <c r="B46" s="406"/>
      <c r="C46" s="406"/>
      <c r="D46" s="407"/>
      <c r="F46" s="485" t="s">
        <v>213</v>
      </c>
      <c r="G46" s="481"/>
      <c r="I46" s="483"/>
    </row>
    <row r="47" spans="2:9" ht="17.45" customHeight="1" x14ac:dyDescent="0.45">
      <c r="B47" s="406"/>
      <c r="C47" s="406"/>
      <c r="D47" s="407"/>
      <c r="F47" s="485"/>
      <c r="G47" s="482"/>
      <c r="I47" s="484"/>
    </row>
    <row r="48" spans="2:9" ht="12" customHeight="1" x14ac:dyDescent="0.45">
      <c r="B48" s="406"/>
      <c r="C48" s="406"/>
      <c r="D48" s="407"/>
    </row>
    <row r="49" spans="2:9" ht="26.25" customHeight="1" x14ac:dyDescent="0.45">
      <c r="B49" s="406"/>
      <c r="C49" s="406"/>
      <c r="D49" s="407"/>
      <c r="F49" s="60" t="s">
        <v>214</v>
      </c>
    </row>
    <row r="50" spans="2:9" ht="36" customHeight="1" x14ac:dyDescent="0.45">
      <c r="B50" s="406"/>
      <c r="C50" s="406"/>
      <c r="D50" s="407"/>
      <c r="F50" s="402" t="s">
        <v>215</v>
      </c>
      <c r="G50" s="75"/>
      <c r="I50" s="88"/>
    </row>
    <row r="51" spans="2:9" ht="8.25" customHeight="1" x14ac:dyDescent="0.45">
      <c r="B51" s="406"/>
      <c r="C51" s="406"/>
      <c r="D51" s="407"/>
      <c r="F51" s="410"/>
      <c r="G51" s="410"/>
      <c r="H51" s="410"/>
      <c r="I51" s="410"/>
    </row>
    <row r="52" spans="2:9" ht="33.75" customHeight="1" x14ac:dyDescent="0.45">
      <c r="B52" s="406"/>
      <c r="C52" s="406"/>
      <c r="D52" s="407"/>
      <c r="F52" s="410" t="s">
        <v>351</v>
      </c>
      <c r="G52" s="293"/>
      <c r="I52" s="88"/>
    </row>
    <row r="53" spans="2:9" ht="26.45" customHeight="1" x14ac:dyDescent="0.45">
      <c r="B53" s="406"/>
      <c r="C53" s="406"/>
      <c r="D53" s="407"/>
      <c r="F53" s="218"/>
      <c r="G53" s="221"/>
      <c r="H53" s="220"/>
      <c r="I53" s="221"/>
    </row>
    <row r="54" spans="2:9" ht="12" customHeight="1" x14ac:dyDescent="0.45">
      <c r="B54" s="406"/>
      <c r="C54" s="406"/>
      <c r="D54" s="407"/>
      <c r="F54" s="409"/>
      <c r="G54" s="411"/>
      <c r="H54" s="12"/>
      <c r="I54" s="412"/>
    </row>
    <row r="55" spans="2:9" s="47" customFormat="1" ht="33" customHeight="1" x14ac:dyDescent="0.45">
      <c r="B55" s="47" t="s">
        <v>29</v>
      </c>
      <c r="D55" s="2"/>
      <c r="E55" s="2"/>
      <c r="F55" s="47" t="s">
        <v>82</v>
      </c>
      <c r="G55" s="18"/>
      <c r="H55" s="1"/>
      <c r="I55" s="17"/>
    </row>
    <row r="56" spans="2:9" ht="25.5" customHeight="1" x14ac:dyDescent="0.45">
      <c r="B56" s="6" t="str">
        <f>Beregningsmodell!B31</f>
        <v>Omsetning i første måned av sammenligningsperioden</v>
      </c>
      <c r="C56" s="7"/>
      <c r="D56" s="10" t="str">
        <f>IF(Beregningsmodell!D31="","",Beregningsmodell!D31)</f>
        <v/>
      </c>
      <c r="F56" s="16" t="s">
        <v>199</v>
      </c>
      <c r="G56" s="254"/>
      <c r="H56" s="16"/>
      <c r="I56" s="263"/>
    </row>
    <row r="57" spans="2:9" ht="25.5" customHeight="1" x14ac:dyDescent="0.45">
      <c r="B57" s="6" t="str">
        <f>Beregningsmodell!B32</f>
        <v>Omsetning i andre måned av sammenligningsperioden</v>
      </c>
      <c r="C57" s="6"/>
      <c r="D57" s="10" t="str">
        <f>IF(Beregningsmodell!D32="","",Beregningsmodell!D32)</f>
        <v/>
      </c>
      <c r="E57" s="1"/>
      <c r="F57" s="464" t="s">
        <v>200</v>
      </c>
      <c r="G57" s="481"/>
      <c r="H57" s="402"/>
      <c r="I57" s="483"/>
    </row>
    <row r="58" spans="2:9" ht="21" customHeight="1" x14ac:dyDescent="0.45">
      <c r="B58" s="6"/>
      <c r="C58" s="6"/>
      <c r="D58" s="28"/>
      <c r="E58" s="1"/>
      <c r="F58" s="464"/>
      <c r="G58" s="482"/>
      <c r="H58" s="402"/>
      <c r="I58" s="484"/>
    </row>
    <row r="59" spans="2:9" ht="15.75" customHeight="1" x14ac:dyDescent="0.45">
      <c r="B59" s="6"/>
      <c r="C59" s="6"/>
      <c r="D59" s="28"/>
      <c r="E59" s="1"/>
    </row>
    <row r="60" spans="2:9" ht="16.5" customHeight="1" x14ac:dyDescent="0.45">
      <c r="B60" s="6"/>
      <c r="C60" s="6"/>
      <c r="D60" s="28"/>
      <c r="E60" s="1"/>
      <c r="F60" s="16" t="s">
        <v>79</v>
      </c>
    </row>
    <row r="61" spans="2:9" ht="24.95" customHeight="1" x14ac:dyDescent="0.45">
      <c r="B61" s="172" t="s">
        <v>333</v>
      </c>
      <c r="C61" s="388"/>
      <c r="D61" s="389">
        <f>Beregningsmodell!D34</f>
        <v>0</v>
      </c>
      <c r="E61" s="1"/>
      <c r="F61" s="464" t="s">
        <v>201</v>
      </c>
      <c r="G61" s="481"/>
      <c r="I61" s="483"/>
    </row>
    <row r="62" spans="2:9" ht="24.95" customHeight="1" x14ac:dyDescent="0.45">
      <c r="B62" s="174" t="s">
        <v>326</v>
      </c>
      <c r="C62" s="51"/>
      <c r="D62" s="390">
        <f>Beregningsmodell!D35</f>
        <v>0</v>
      </c>
      <c r="E62" s="1"/>
      <c r="F62" s="464"/>
      <c r="G62" s="486"/>
      <c r="I62" s="487"/>
    </row>
    <row r="63" spans="2:9" ht="19.5" customHeight="1" x14ac:dyDescent="0.45">
      <c r="B63" s="6"/>
      <c r="C63" s="6"/>
      <c r="D63" s="28"/>
      <c r="E63" s="1"/>
      <c r="F63" s="464"/>
      <c r="G63" s="482"/>
      <c r="I63" s="484"/>
    </row>
    <row r="64" spans="2:9" ht="8.25" customHeight="1" x14ac:dyDescent="0.45">
      <c r="B64" s="6"/>
      <c r="C64" s="6"/>
      <c r="D64" s="28"/>
      <c r="E64" s="1"/>
      <c r="F64" s="93"/>
    </row>
    <row r="65" spans="2:9" ht="19.5" customHeight="1" x14ac:dyDescent="0.45">
      <c r="B65" s="6"/>
      <c r="C65" s="6"/>
      <c r="D65" s="28"/>
      <c r="E65" s="1"/>
      <c r="F65" s="16" t="s">
        <v>80</v>
      </c>
    </row>
    <row r="66" spans="2:9" ht="21" customHeight="1" x14ac:dyDescent="0.45">
      <c r="B66" s="6"/>
      <c r="C66" s="6"/>
      <c r="D66" s="28"/>
      <c r="E66" s="1"/>
      <c r="F66" s="464" t="s">
        <v>202</v>
      </c>
      <c r="G66" s="481"/>
      <c r="H66" s="93"/>
      <c r="I66" s="483"/>
    </row>
    <row r="67" spans="2:9" ht="38.25" customHeight="1" x14ac:dyDescent="0.45">
      <c r="B67" s="6"/>
      <c r="C67" s="6"/>
      <c r="D67" s="28"/>
      <c r="E67" s="1"/>
      <c r="F67" s="464"/>
      <c r="G67" s="482"/>
      <c r="H67" s="93"/>
      <c r="I67" s="484"/>
    </row>
    <row r="68" spans="2:9" ht="6.95" customHeight="1" x14ac:dyDescent="0.45">
      <c r="B68" s="6"/>
      <c r="C68" s="6"/>
      <c r="D68" s="28"/>
      <c r="E68" s="1"/>
      <c r="F68" s="93"/>
    </row>
    <row r="69" spans="2:9" ht="21" customHeight="1" x14ac:dyDescent="0.45">
      <c r="B69" s="6"/>
      <c r="C69" s="6"/>
      <c r="D69" s="28"/>
      <c r="E69" s="1"/>
      <c r="F69" s="16" t="s">
        <v>81</v>
      </c>
    </row>
    <row r="70" spans="2:9" ht="15" customHeight="1" x14ac:dyDescent="0.45">
      <c r="B70" s="6"/>
      <c r="C70" s="6"/>
      <c r="D70" s="28"/>
      <c r="E70" s="1"/>
      <c r="F70" s="459" t="s">
        <v>203</v>
      </c>
      <c r="G70" s="481"/>
      <c r="I70" s="483"/>
    </row>
    <row r="71" spans="2:9" ht="21" customHeight="1" x14ac:dyDescent="0.45">
      <c r="B71" s="6"/>
      <c r="C71" s="6"/>
      <c r="D71" s="28"/>
      <c r="E71" s="1"/>
      <c r="F71" s="459"/>
      <c r="G71" s="482"/>
      <c r="I71" s="484"/>
    </row>
    <row r="72" spans="2:9" ht="21" customHeight="1" x14ac:dyDescent="0.45">
      <c r="B72" s="6"/>
      <c r="C72" s="6"/>
      <c r="D72" s="28"/>
      <c r="E72" s="1"/>
      <c r="F72" s="218"/>
      <c r="G72" s="219"/>
      <c r="H72" s="220"/>
      <c r="I72" s="221"/>
    </row>
    <row r="73" spans="2:9" ht="23.25" customHeight="1" x14ac:dyDescent="0.45">
      <c r="B73" s="47" t="s">
        <v>30</v>
      </c>
      <c r="C73" s="6"/>
      <c r="D73" s="28"/>
      <c r="E73" s="1"/>
      <c r="F73" s="47" t="s">
        <v>83</v>
      </c>
    </row>
    <row r="74" spans="2:9" ht="21" customHeight="1" x14ac:dyDescent="0.45">
      <c r="B74" s="6" t="str">
        <f>Beregningsmodell!B37</f>
        <v>Omsetning i første måned av søknadsperioden</v>
      </c>
      <c r="C74" s="6"/>
      <c r="D74" s="10" t="str">
        <f>IF(Beregningsmodell!D37="","",Beregningsmodell!D37)</f>
        <v/>
      </c>
      <c r="E74" s="1"/>
      <c r="F74" s="16" t="s">
        <v>199</v>
      </c>
      <c r="G74" s="254"/>
      <c r="H74" s="16"/>
      <c r="I74" s="263"/>
    </row>
    <row r="75" spans="2:9" ht="21" customHeight="1" x14ac:dyDescent="0.45">
      <c r="B75" s="6" t="str">
        <f>Beregningsmodell!B38</f>
        <v>Omsetning i andre måned av søknadsperioden</v>
      </c>
      <c r="C75" s="6"/>
      <c r="D75" s="10" t="str">
        <f>IF(Beregningsmodell!D38="","",Beregningsmodell!D38)</f>
        <v/>
      </c>
      <c r="E75" s="1"/>
      <c r="F75" s="464" t="s">
        <v>204</v>
      </c>
      <c r="G75" s="481"/>
      <c r="H75" s="93"/>
      <c r="I75" s="483"/>
    </row>
    <row r="76" spans="2:9" ht="27.75" customHeight="1" x14ac:dyDescent="0.45">
      <c r="B76" s="6"/>
      <c r="C76" s="6"/>
      <c r="D76" s="27"/>
      <c r="E76" s="1"/>
      <c r="F76" s="464"/>
      <c r="G76" s="482"/>
      <c r="H76" s="93"/>
      <c r="I76" s="484"/>
    </row>
    <row r="77" spans="2:9" ht="9.75" customHeight="1" x14ac:dyDescent="0.45">
      <c r="B77" s="6"/>
      <c r="C77" s="6"/>
      <c r="D77" s="27"/>
      <c r="E77" s="1"/>
    </row>
    <row r="78" spans="2:9" ht="16.5" customHeight="1" x14ac:dyDescent="0.45">
      <c r="B78" s="6"/>
      <c r="C78" s="6"/>
      <c r="D78" s="27"/>
      <c r="E78" s="1"/>
      <c r="F78" s="16" t="s">
        <v>205</v>
      </c>
    </row>
    <row r="79" spans="2:9" ht="33.75" customHeight="1" x14ac:dyDescent="0.45">
      <c r="B79" s="6"/>
      <c r="C79" s="6"/>
      <c r="D79" s="27"/>
      <c r="E79" s="1"/>
      <c r="F79" s="11" t="s">
        <v>206</v>
      </c>
      <c r="G79" s="293"/>
      <c r="H79" s="93"/>
      <c r="I79" s="88"/>
    </row>
    <row r="80" spans="2:9" ht="13.5" customHeight="1" x14ac:dyDescent="0.45">
      <c r="B80" s="6"/>
      <c r="C80" s="6"/>
      <c r="D80" s="27"/>
      <c r="E80" s="1"/>
      <c r="F80" s="93"/>
      <c r="G80" s="197"/>
      <c r="I80" s="232"/>
    </row>
    <row r="81" spans="2:9" ht="13.5" customHeight="1" x14ac:dyDescent="0.45">
      <c r="B81" s="6"/>
      <c r="C81" s="6"/>
      <c r="D81" s="27"/>
      <c r="E81" s="1"/>
      <c r="F81" s="16" t="s">
        <v>207</v>
      </c>
    </row>
    <row r="82" spans="2:9" ht="13.5" customHeight="1" x14ac:dyDescent="0.45">
      <c r="B82" s="6"/>
      <c r="C82" s="6"/>
      <c r="D82" s="27"/>
      <c r="E82" s="1"/>
      <c r="F82" s="464" t="s">
        <v>208</v>
      </c>
      <c r="G82" s="481"/>
      <c r="I82" s="483"/>
    </row>
    <row r="83" spans="2:9" ht="13.5" customHeight="1" x14ac:dyDescent="0.45">
      <c r="B83" s="6"/>
      <c r="C83" s="6"/>
      <c r="D83" s="27"/>
      <c r="E83" s="1"/>
      <c r="F83" s="464"/>
      <c r="G83" s="486"/>
      <c r="I83" s="487"/>
    </row>
    <row r="84" spans="2:9" ht="28.5" customHeight="1" x14ac:dyDescent="0.45">
      <c r="B84" s="6"/>
      <c r="C84" s="6"/>
      <c r="D84" s="27"/>
      <c r="E84" s="1"/>
      <c r="F84" s="464"/>
      <c r="G84" s="482"/>
      <c r="I84" s="484"/>
    </row>
    <row r="85" spans="2:9" ht="13.5" customHeight="1" x14ac:dyDescent="0.45">
      <c r="B85" s="6"/>
      <c r="C85" s="6"/>
      <c r="D85" s="27"/>
      <c r="E85" s="1"/>
      <c r="F85" s="93"/>
    </row>
    <row r="86" spans="2:9" ht="13.5" customHeight="1" x14ac:dyDescent="0.45">
      <c r="B86" s="6"/>
      <c r="C86" s="6"/>
      <c r="D86" s="27"/>
      <c r="E86" s="1"/>
      <c r="F86" s="16" t="s">
        <v>80</v>
      </c>
    </row>
    <row r="87" spans="2:9" ht="13.5" customHeight="1" x14ac:dyDescent="0.45">
      <c r="B87" s="6"/>
      <c r="C87" s="6"/>
      <c r="D87" s="27"/>
      <c r="E87" s="1"/>
      <c r="F87" s="464" t="s">
        <v>209</v>
      </c>
      <c r="G87" s="481"/>
      <c r="H87" s="93"/>
      <c r="I87" s="483"/>
    </row>
    <row r="88" spans="2:9" ht="46.5" customHeight="1" x14ac:dyDescent="0.45">
      <c r="B88" s="6"/>
      <c r="C88" s="6"/>
      <c r="D88" s="27"/>
      <c r="E88" s="1"/>
      <c r="F88" s="464"/>
      <c r="G88" s="482"/>
      <c r="H88" s="93"/>
      <c r="I88" s="484"/>
    </row>
    <row r="89" spans="2:9" ht="13.5" customHeight="1" x14ac:dyDescent="0.45">
      <c r="B89" s="6"/>
      <c r="C89" s="6"/>
      <c r="D89" s="27"/>
      <c r="E89" s="1"/>
      <c r="F89" s="93"/>
    </row>
    <row r="90" spans="2:9" ht="13.5" customHeight="1" x14ac:dyDescent="0.45">
      <c r="B90" s="6"/>
      <c r="C90" s="6"/>
      <c r="D90" s="27"/>
      <c r="E90" s="1"/>
      <c r="F90" s="16" t="s">
        <v>81</v>
      </c>
    </row>
    <row r="91" spans="2:9" ht="18" customHeight="1" x14ac:dyDescent="0.45">
      <c r="B91" s="6"/>
      <c r="C91" s="6"/>
      <c r="D91" s="27"/>
      <c r="E91" s="1"/>
      <c r="F91" s="459" t="s">
        <v>210</v>
      </c>
      <c r="G91" s="481"/>
      <c r="I91" s="483"/>
    </row>
    <row r="92" spans="2:9" ht="18" customHeight="1" x14ac:dyDescent="0.45">
      <c r="B92" s="6"/>
      <c r="C92" s="6"/>
      <c r="D92" s="27"/>
      <c r="E92" s="1"/>
      <c r="F92" s="459"/>
      <c r="G92" s="482"/>
      <c r="I92" s="484"/>
    </row>
    <row r="93" spans="2:9" ht="21" customHeight="1" x14ac:dyDescent="0.45">
      <c r="B93" s="51"/>
      <c r="C93" s="51"/>
      <c r="D93" s="56"/>
      <c r="E93" s="4"/>
      <c r="F93" s="61"/>
      <c r="G93" s="253"/>
      <c r="H93" s="4"/>
      <c r="I93" s="264"/>
    </row>
    <row r="94" spans="2:9" ht="13.5" customHeight="1" x14ac:dyDescent="0.45">
      <c r="B94" s="6"/>
      <c r="C94" s="6"/>
      <c r="D94" s="27"/>
      <c r="E94" s="1"/>
      <c r="F94" s="58"/>
    </row>
    <row r="95" spans="2:9" ht="13.5" customHeight="1" x14ac:dyDescent="0.45">
      <c r="B95" s="6"/>
      <c r="C95" s="6"/>
      <c r="D95" s="27"/>
      <c r="E95" s="1"/>
      <c r="F95" s="47" t="s">
        <v>85</v>
      </c>
    </row>
    <row r="96" spans="2:9" ht="66" customHeight="1" x14ac:dyDescent="0.45">
      <c r="B96" s="459" t="str">
        <f>Beregningsmodell!B40</f>
        <v>Har foretaket mottatt annen økonomisk støtte pga virusutbruddet, som IKKE er tidligere tilskudd fra denne ordningen, uspesifisert bagatellmessig støtte fra kommuner, tilskudd for avbrutt permittering, gaver fra privatpersoner i sum 3 000 kr, tilskudd til likviditetsstyring fra Innovasjon Norge, og tilskudd for tapt varelager,  jf. forskriften § 2-2 annet ledd</v>
      </c>
      <c r="C96" s="459"/>
      <c r="D96" s="10" t="str">
        <f>IF(Beregningsmodell!D40="","",Beregningsmodell!D40)</f>
        <v/>
      </c>
      <c r="E96" s="1"/>
      <c r="F96" s="11" t="s">
        <v>216</v>
      </c>
      <c r="G96" s="75"/>
      <c r="H96" s="93"/>
      <c r="I96" s="88"/>
    </row>
    <row r="97" spans="2:9" ht="12.75" customHeight="1" x14ac:dyDescent="0.45">
      <c r="B97" s="93"/>
      <c r="C97" s="93"/>
      <c r="D97" s="93"/>
      <c r="E97" s="1"/>
      <c r="F97" s="11"/>
      <c r="G97" s="255"/>
      <c r="H97" s="93"/>
      <c r="I97" s="93"/>
    </row>
    <row r="98" spans="2:9" ht="99.75" x14ac:dyDescent="0.45">
      <c r="B98" s="459" t="str">
        <f>[1]Beregningsmodell!B39</f>
        <v>Vennligst angi hvor mye foretaket allerede har mottatt i økonomisk støtte?</v>
      </c>
      <c r="C98" s="459"/>
      <c r="D98" s="10" t="str">
        <f>IF(Beregningsmodell!D41="","",Beregningsmodell!D41)</f>
        <v/>
      </c>
      <c r="E98" s="1"/>
      <c r="F98" s="11" t="s">
        <v>217</v>
      </c>
      <c r="G98" s="75"/>
      <c r="H98" s="93"/>
      <c r="I98" s="88"/>
    </row>
    <row r="99" spans="2:9" ht="11.25" customHeight="1" x14ac:dyDescent="0.45">
      <c r="B99" s="93"/>
      <c r="C99" s="93"/>
      <c r="D99" s="93"/>
      <c r="E99" s="1"/>
      <c r="F99" s="11"/>
      <c r="G99" s="255"/>
      <c r="H99" s="93"/>
      <c r="I99" s="93"/>
    </row>
    <row r="100" spans="2:9" ht="48" customHeight="1" x14ac:dyDescent="0.45">
      <c r="B100" s="93"/>
      <c r="C100" s="93"/>
      <c r="D100" s="93"/>
      <c r="E100" s="1"/>
      <c r="F100" s="11" t="s">
        <v>218</v>
      </c>
      <c r="G100" s="75"/>
      <c r="H100" s="93"/>
      <c r="I100" s="88"/>
    </row>
    <row r="101" spans="2:9" ht="12.4" customHeight="1" x14ac:dyDescent="0.45">
      <c r="B101" s="93"/>
      <c r="C101" s="93"/>
      <c r="D101" s="28"/>
      <c r="E101" s="1"/>
    </row>
    <row r="102" spans="2:9" s="27" customFormat="1" ht="30" customHeight="1" x14ac:dyDescent="0.45">
      <c r="B102" s="190" t="str">
        <f>Beregningsmodell!B43</f>
        <v xml:space="preserve"> Beregnet normalomsetning i søknadsperioden (inflasjonsjustert)</v>
      </c>
      <c r="C102" s="185"/>
      <c r="D102" s="180">
        <f>Beregningsmodell!D43</f>
        <v>0</v>
      </c>
      <c r="G102" s="256"/>
      <c r="I102" s="39"/>
    </row>
    <row r="103" spans="2:9" s="27" customFormat="1" ht="13.35" customHeight="1" x14ac:dyDescent="0.45">
      <c r="B103" s="183"/>
      <c r="C103" s="93"/>
      <c r="D103" s="28"/>
      <c r="G103" s="256"/>
      <c r="I103" s="39"/>
    </row>
    <row r="104" spans="2:9" s="27" customFormat="1" ht="30" customHeight="1" x14ac:dyDescent="0.45">
      <c r="B104" s="172" t="str">
        <f>Beregningsmodell!B45</f>
        <v xml:space="preserve"> Omsetningsreduksjon i prosent</v>
      </c>
      <c r="C104" s="186"/>
      <c r="D104" s="187">
        <f>Beregningsmodell!D45</f>
        <v>0</v>
      </c>
      <c r="G104" s="256"/>
      <c r="I104" s="265"/>
    </row>
    <row r="105" spans="2:9" s="27" customFormat="1" ht="30" customHeight="1" x14ac:dyDescent="0.45">
      <c r="B105" s="174" t="str">
        <f>Beregningsmodell!B46</f>
        <v xml:space="preserve"> Omsetningsreduksjon i kroner</v>
      </c>
      <c r="C105" s="48"/>
      <c r="D105" s="202">
        <f>Beregningsmodell!D46</f>
        <v>0</v>
      </c>
      <c r="G105" s="256"/>
      <c r="I105" s="265"/>
    </row>
    <row r="106" spans="2:9" x14ac:dyDescent="0.45">
      <c r="B106" s="4"/>
      <c r="C106" s="4"/>
      <c r="D106" s="50"/>
      <c r="E106" s="4"/>
      <c r="F106" s="4"/>
      <c r="G106" s="253"/>
      <c r="H106" s="4"/>
      <c r="I106" s="264"/>
    </row>
    <row r="108" spans="2:9" ht="27" customHeight="1" x14ac:dyDescent="0.65">
      <c r="B108" s="14" t="s">
        <v>176</v>
      </c>
      <c r="C108" s="92"/>
      <c r="D108" s="34"/>
      <c r="G108" s="3"/>
    </row>
    <row r="109" spans="2:9" ht="34.5" customHeight="1" x14ac:dyDescent="0.45">
      <c r="B109" s="206" t="s">
        <v>157</v>
      </c>
      <c r="C109" s="92"/>
      <c r="D109" s="34"/>
    </row>
    <row r="110" spans="2:9" ht="34.5" customHeight="1" x14ac:dyDescent="0.45">
      <c r="B110" s="206"/>
      <c r="C110" s="92"/>
      <c r="D110" s="34"/>
      <c r="F110" s="47" t="s">
        <v>251</v>
      </c>
    </row>
    <row r="111" spans="2:9" ht="23.25" customHeight="1" x14ac:dyDescent="0.45">
      <c r="B111" s="92" t="s">
        <v>184</v>
      </c>
      <c r="C111" s="92"/>
      <c r="D111" s="158" t="str">
        <f>IF(Beregningsmodell!D51="","",Beregningsmodell!D51)</f>
        <v/>
      </c>
      <c r="F111" s="457" t="s">
        <v>250</v>
      </c>
      <c r="G111" s="481"/>
      <c r="I111" s="476"/>
    </row>
    <row r="112" spans="2:9" ht="23.45" customHeight="1" x14ac:dyDescent="0.45">
      <c r="B112" s="92" t="s">
        <v>185</v>
      </c>
      <c r="C112" s="92"/>
      <c r="D112" s="158" t="str">
        <f>IF(Beregningsmodell!D52="","",Beregningsmodell!D52)</f>
        <v/>
      </c>
      <c r="F112" s="457"/>
      <c r="G112" s="486"/>
      <c r="I112" s="477"/>
    </row>
    <row r="113" spans="1:9" ht="23.45" customHeight="1" x14ac:dyDescent="0.45">
      <c r="A113" s="12"/>
      <c r="B113" s="92" t="s">
        <v>186</v>
      </c>
      <c r="C113" s="92"/>
      <c r="D113" s="158" t="str">
        <f>IF(Beregningsmodell!D53="","",Beregningsmodell!D53)</f>
        <v/>
      </c>
      <c r="F113" s="457"/>
      <c r="G113" s="482"/>
      <c r="I113" s="478"/>
    </row>
    <row r="114" spans="1:9" ht="21.95" customHeight="1" x14ac:dyDescent="0.45">
      <c r="A114" s="12"/>
      <c r="B114" s="92"/>
      <c r="C114" s="92"/>
      <c r="D114" s="34"/>
      <c r="F114" s="12"/>
      <c r="G114" s="3"/>
    </row>
    <row r="115" spans="1:9" ht="30" customHeight="1" x14ac:dyDescent="0.45">
      <c r="A115" s="12"/>
      <c r="B115" s="172" t="s">
        <v>173</v>
      </c>
      <c r="C115" s="186"/>
      <c r="D115" s="177" t="str">
        <f>Beregningsmodell!D55</f>
        <v/>
      </c>
      <c r="F115" s="489" t="s">
        <v>346</v>
      </c>
      <c r="G115" s="481"/>
      <c r="H115" s="93"/>
      <c r="I115" s="483"/>
    </row>
    <row r="116" spans="1:9" ht="30" customHeight="1" x14ac:dyDescent="0.45">
      <c r="A116" s="12"/>
      <c r="B116" s="174" t="s">
        <v>174</v>
      </c>
      <c r="C116" s="48"/>
      <c r="D116" s="203">
        <f>Beregningsmodell!D56</f>
        <v>0</v>
      </c>
      <c r="F116" s="489"/>
      <c r="G116" s="482"/>
      <c r="H116" s="93"/>
      <c r="I116" s="484"/>
    </row>
    <row r="117" spans="1:9" ht="17.45" customHeight="1" x14ac:dyDescent="0.45">
      <c r="A117" s="12"/>
      <c r="B117" s="246"/>
      <c r="C117" s="29"/>
      <c r="D117" s="247"/>
      <c r="G117" s="248"/>
      <c r="H117" s="93"/>
      <c r="I117" s="266"/>
    </row>
    <row r="118" spans="1:9" ht="17.45" customHeight="1" x14ac:dyDescent="0.45">
      <c r="A118" s="12"/>
      <c r="B118" s="246"/>
      <c r="C118" s="29"/>
      <c r="D118" s="247"/>
      <c r="F118" s="405" t="s">
        <v>253</v>
      </c>
      <c r="G118" s="248"/>
      <c r="H118" s="93"/>
      <c r="I118" s="266"/>
    </row>
    <row r="119" spans="1:9" ht="21" customHeight="1" x14ac:dyDescent="0.45">
      <c r="A119" s="12"/>
      <c r="B119" s="246"/>
      <c r="C119" s="29"/>
      <c r="D119" s="247"/>
      <c r="F119" s="488" t="s">
        <v>252</v>
      </c>
      <c r="G119" s="481"/>
      <c r="H119" s="93"/>
      <c r="I119" s="483"/>
    </row>
    <row r="120" spans="1:9" ht="28.5" customHeight="1" x14ac:dyDescent="0.45">
      <c r="A120" s="12"/>
      <c r="B120" s="246"/>
      <c r="C120" s="29"/>
      <c r="D120" s="247"/>
      <c r="F120" s="488"/>
      <c r="G120" s="482"/>
      <c r="H120" s="93"/>
      <c r="I120" s="484"/>
    </row>
    <row r="121" spans="1:9" ht="11.25" customHeight="1" x14ac:dyDescent="0.45">
      <c r="A121" s="12"/>
      <c r="B121" s="246"/>
      <c r="C121" s="29"/>
      <c r="D121" s="247"/>
      <c r="G121" s="248"/>
      <c r="H121" s="93"/>
      <c r="I121" s="266"/>
    </row>
    <row r="122" spans="1:9" ht="30" customHeight="1" x14ac:dyDescent="0.45">
      <c r="A122" s="12"/>
      <c r="B122" s="246"/>
      <c r="C122" s="29"/>
      <c r="D122" s="247"/>
      <c r="F122" s="249" t="s">
        <v>255</v>
      </c>
      <c r="G122" s="248"/>
      <c r="H122" s="93"/>
      <c r="I122" s="266"/>
    </row>
    <row r="123" spans="1:9" ht="6" customHeight="1" x14ac:dyDescent="0.45">
      <c r="A123" s="12"/>
      <c r="B123" s="246"/>
      <c r="C123" s="29"/>
      <c r="D123" s="247"/>
      <c r="F123" s="245"/>
      <c r="G123" s="248"/>
      <c r="H123" s="93"/>
      <c r="I123" s="266"/>
    </row>
    <row r="124" spans="1:9" ht="30" customHeight="1" x14ac:dyDescent="0.45">
      <c r="A124" s="12"/>
      <c r="B124" s="246"/>
      <c r="C124" s="29"/>
      <c r="D124" s="247"/>
      <c r="F124" s="245" t="s">
        <v>254</v>
      </c>
      <c r="G124" s="75"/>
      <c r="H124" s="93"/>
      <c r="I124" s="88"/>
    </row>
    <row r="125" spans="1:9" ht="9.75" customHeight="1" x14ac:dyDescent="0.45">
      <c r="A125" s="12"/>
      <c r="B125" s="246"/>
      <c r="C125" s="29"/>
      <c r="D125" s="247"/>
      <c r="F125" s="245"/>
      <c r="G125" s="248"/>
      <c r="H125" s="93"/>
      <c r="I125" s="266"/>
    </row>
    <row r="126" spans="1:9" ht="30" customHeight="1" x14ac:dyDescent="0.45">
      <c r="A126" s="12"/>
      <c r="B126" s="246"/>
      <c r="C126" s="29"/>
      <c r="D126" s="247"/>
      <c r="F126" s="250" t="s">
        <v>256</v>
      </c>
      <c r="G126" s="75"/>
      <c r="H126" s="93"/>
      <c r="I126" s="88"/>
    </row>
    <row r="127" spans="1:9" ht="16.149999999999999" customHeight="1" x14ac:dyDescent="0.45">
      <c r="A127" s="12"/>
      <c r="B127" s="246"/>
      <c r="C127" s="29"/>
      <c r="D127" s="247"/>
      <c r="F127" s="250"/>
      <c r="G127" s="1"/>
      <c r="H127" s="399"/>
      <c r="I127" s="1"/>
    </row>
    <row r="128" spans="1:9" ht="30" customHeight="1" x14ac:dyDescent="0.45">
      <c r="A128" s="12"/>
      <c r="B128" s="246"/>
      <c r="C128" s="29"/>
      <c r="D128" s="247"/>
      <c r="F128" s="405" t="s">
        <v>344</v>
      </c>
      <c r="G128" s="1"/>
      <c r="H128" s="399"/>
      <c r="I128" s="1"/>
    </row>
    <row r="129" spans="1:9" ht="30" customHeight="1" x14ac:dyDescent="0.45">
      <c r="A129" s="12"/>
      <c r="B129" s="246"/>
      <c r="C129" s="29"/>
      <c r="D129" s="247"/>
      <c r="F129" s="250" t="s">
        <v>345</v>
      </c>
      <c r="G129" s="75"/>
      <c r="H129" s="399"/>
      <c r="I129" s="88"/>
    </row>
    <row r="130" spans="1:9" ht="5.65" customHeight="1" x14ac:dyDescent="0.45">
      <c r="A130" s="12"/>
      <c r="B130" s="246"/>
      <c r="C130" s="29"/>
      <c r="D130" s="247"/>
      <c r="F130" s="250"/>
      <c r="G130" s="1"/>
      <c r="H130" s="399"/>
      <c r="I130" s="1"/>
    </row>
    <row r="131" spans="1:9" ht="30" customHeight="1" x14ac:dyDescent="0.45">
      <c r="A131" s="12"/>
      <c r="B131" s="246"/>
      <c r="C131" s="29"/>
      <c r="D131" s="247"/>
      <c r="F131" s="249" t="s">
        <v>255</v>
      </c>
      <c r="G131" s="1"/>
      <c r="H131" s="399"/>
      <c r="I131" s="1"/>
    </row>
    <row r="132" spans="1:9" ht="6.75" customHeight="1" x14ac:dyDescent="0.45">
      <c r="A132" s="12"/>
      <c r="B132" s="246"/>
      <c r="C132" s="29"/>
      <c r="D132" s="247"/>
      <c r="F132" s="250"/>
      <c r="G132" s="1"/>
      <c r="H132" s="399"/>
      <c r="I132" s="1"/>
    </row>
    <row r="133" spans="1:9" ht="30" customHeight="1" x14ac:dyDescent="0.45">
      <c r="A133" s="12"/>
      <c r="B133" s="246"/>
      <c r="C133" s="29"/>
      <c r="D133" s="247"/>
      <c r="F133" s="400" t="s">
        <v>254</v>
      </c>
      <c r="G133" s="75"/>
      <c r="H133" s="399"/>
      <c r="I133" s="88"/>
    </row>
    <row r="134" spans="1:9" ht="11.65" customHeight="1" x14ac:dyDescent="0.45">
      <c r="A134" s="12"/>
      <c r="B134" s="246"/>
      <c r="C134" s="29"/>
      <c r="D134" s="247"/>
      <c r="F134" s="400"/>
      <c r="G134" s="248"/>
      <c r="H134" s="399"/>
      <c r="I134" s="266"/>
    </row>
    <row r="135" spans="1:9" ht="30" customHeight="1" x14ac:dyDescent="0.45">
      <c r="A135" s="12"/>
      <c r="B135" s="246"/>
      <c r="C135" s="29"/>
      <c r="D135" s="247"/>
      <c r="F135" s="250" t="s">
        <v>256</v>
      </c>
      <c r="G135" s="75"/>
      <c r="H135" s="399"/>
      <c r="I135" s="88"/>
    </row>
    <row r="136" spans="1:9" ht="30" customHeight="1" x14ac:dyDescent="0.45">
      <c r="A136" s="12"/>
      <c r="B136" s="246"/>
      <c r="C136" s="29"/>
      <c r="D136" s="247"/>
      <c r="F136" s="250"/>
      <c r="G136" s="403"/>
      <c r="H136" s="399"/>
      <c r="I136" s="404"/>
    </row>
    <row r="137" spans="1:9" ht="30" customHeight="1" x14ac:dyDescent="0.45">
      <c r="A137" s="12"/>
      <c r="B137" s="246"/>
      <c r="C137" s="29"/>
      <c r="D137" s="247"/>
      <c r="F137" s="251" t="s">
        <v>270</v>
      </c>
      <c r="G137" s="3"/>
      <c r="H137" s="93"/>
      <c r="I137" s="248"/>
    </row>
    <row r="138" spans="1:9" ht="53.45" customHeight="1" x14ac:dyDescent="0.45">
      <c r="A138" s="12"/>
      <c r="B138" s="77" t="str">
        <f>Beregningsmodell!B58</f>
        <v>Utgjør samlet egenkaptial mindre en halvparten av selskapskapital og ovekurs?</v>
      </c>
      <c r="C138" s="29"/>
      <c r="D138" s="271" t="str">
        <f>IF(Beregningsmodell!D58="","",Beregningsmodell!D58)</f>
        <v/>
      </c>
      <c r="F138" s="250" t="str">
        <f>IF(OR(D115="Mikro",D115="Liten"),"Kontrollhandling kun relevant for mellomstore og store foretak","Innhent årsregnskapet for siste regnskapsår med balansedag før 1. mars 2020 og kontroller at samlet egenkapital ikke utgjør mindre enn halvparten av selskapskapital og overkurs.")</f>
        <v>Innhent årsregnskapet for siste regnskapsår med balansedag før 1. mars 2020 og kontroller at samlet egenkapital ikke utgjør mindre enn halvparten av selskapskapital og overkurs.</v>
      </c>
      <c r="G138" s="75"/>
      <c r="H138" s="93"/>
      <c r="I138" s="88"/>
    </row>
    <row r="139" spans="1:9" ht="53.45" customHeight="1" x14ac:dyDescent="0.45">
      <c r="A139" s="12"/>
      <c r="B139" s="462" t="str">
        <f>Beregningsmodell!B59</f>
        <v>Utgjør samlet gjeld mer enn 7,5 samlet egenkapital, og at forholdet mellom EBITDA og netto rentekostnader er større enn 1?</v>
      </c>
      <c r="C139" s="462"/>
      <c r="D139" s="271" t="str">
        <f>IF(Beregningsmodell!D59="","",Beregningsmodell!D59)</f>
        <v/>
      </c>
      <c r="F139" s="250" t="str">
        <f>IF(OR(D115="Mikro",D115="Liten",D115="Mellomstor"),"Kontrollhandling kun aktuell for store foretak","Innhent årsregnskapet for de to siste regnskapsår med balansedag før 1. mars 2020 og kontroller at samlet gjeld ikke utgjør mer enn 7,5 ganger samlet egenkapital og at forholdet mellom EBITDA og nettokostnader ikke er større enn 1.")</f>
        <v>Innhent årsregnskapet for de to siste regnskapsår med balansedag før 1. mars 2020 og kontroller at samlet gjeld ikke utgjør mer enn 7,5 ganger samlet egenkapital og at forholdet mellom EBITDA og nettokostnader ikke er større enn 1.</v>
      </c>
      <c r="G139" s="75"/>
      <c r="H139" s="93"/>
      <c r="I139" s="88"/>
    </row>
    <row r="140" spans="1:9" ht="32.25" customHeight="1" x14ac:dyDescent="0.5">
      <c r="A140" s="12"/>
      <c r="B140" s="170" t="s">
        <v>170</v>
      </c>
      <c r="C140" s="92"/>
      <c r="D140" s="113"/>
      <c r="G140" s="3"/>
      <c r="H140" s="12"/>
      <c r="I140" s="248"/>
    </row>
    <row r="141" spans="1:9" ht="33" customHeight="1" x14ac:dyDescent="0.45">
      <c r="A141" s="12"/>
      <c r="B141" s="92" t="s">
        <v>166</v>
      </c>
      <c r="C141" s="92"/>
      <c r="D141" s="175" t="str">
        <f>IF(Beregningsmodell!D61="","",Beregningsmodell!D61)</f>
        <v/>
      </c>
      <c r="G141" s="3"/>
      <c r="I141" s="248"/>
    </row>
    <row r="142" spans="1:9" ht="33" customHeight="1" x14ac:dyDescent="0.45">
      <c r="A142" s="12"/>
      <c r="B142" s="457" t="s">
        <v>165</v>
      </c>
      <c r="C142" s="457"/>
      <c r="D142" s="175" t="str">
        <f>IF(Beregningsmodell!D62="","",Beregningsmodell!D62)</f>
        <v/>
      </c>
      <c r="F142" s="167"/>
      <c r="G142" s="3"/>
    </row>
    <row r="143" spans="1:9" ht="53.25" customHeight="1" x14ac:dyDescent="0.45">
      <c r="A143" s="12"/>
      <c r="B143" s="458" t="s">
        <v>167</v>
      </c>
      <c r="C143" s="458"/>
      <c r="D143" s="175" t="str">
        <f>IF(Beregningsmodell!D63="","",Beregningsmodell!D63)</f>
        <v/>
      </c>
      <c r="F143" s="251" t="s">
        <v>347</v>
      </c>
      <c r="G143" s="3"/>
    </row>
    <row r="144" spans="1:9" ht="25.5" customHeight="1" x14ac:dyDescent="0.45">
      <c r="A144" s="12"/>
      <c r="B144" s="29" t="s">
        <v>168</v>
      </c>
      <c r="C144" s="29"/>
      <c r="D144" s="204">
        <f>Beregningsmodell!D64</f>
        <v>0</v>
      </c>
      <c r="F144" s="408" t="s">
        <v>257</v>
      </c>
      <c r="G144" s="3"/>
    </row>
    <row r="145" spans="1:9" ht="24" customHeight="1" x14ac:dyDescent="0.5">
      <c r="A145" s="12"/>
      <c r="B145" s="170" t="s">
        <v>171</v>
      </c>
      <c r="C145" s="92"/>
      <c r="D145" s="176"/>
      <c r="F145" s="12"/>
      <c r="G145" s="3"/>
    </row>
    <row r="146" spans="1:9" ht="29.45" customHeight="1" x14ac:dyDescent="0.45">
      <c r="A146" s="12"/>
      <c r="B146" s="92" t="s">
        <v>159</v>
      </c>
      <c r="C146" s="92"/>
      <c r="D146" s="175" t="str">
        <f>IF(Beregningsmodell!D66="","",Beregningsmodell!D66)</f>
        <v/>
      </c>
      <c r="F146" s="250" t="s">
        <v>348</v>
      </c>
      <c r="G146" s="75"/>
      <c r="H146" s="93"/>
      <c r="I146" s="88"/>
    </row>
    <row r="147" spans="1:9" ht="29.45" customHeight="1" x14ac:dyDescent="0.45">
      <c r="A147" s="12"/>
      <c r="B147" s="456" t="s">
        <v>160</v>
      </c>
      <c r="C147" s="456"/>
      <c r="D147" s="175" t="str">
        <f>IF(Beregningsmodell!D67="","",Beregningsmodell!D67)</f>
        <v/>
      </c>
      <c r="F147" s="250" t="s">
        <v>259</v>
      </c>
      <c r="G147" s="75"/>
      <c r="I147" s="88"/>
    </row>
    <row r="148" spans="1:9" ht="29.45" customHeight="1" x14ac:dyDescent="0.45">
      <c r="A148" s="12"/>
      <c r="B148" s="456" t="s">
        <v>161</v>
      </c>
      <c r="C148" s="456"/>
      <c r="D148" s="175" t="str">
        <f>IF(Beregningsmodell!D68="","",Beregningsmodell!D68)</f>
        <v/>
      </c>
      <c r="F148" s="250" t="s">
        <v>260</v>
      </c>
      <c r="G148" s="75"/>
      <c r="I148" s="88"/>
    </row>
    <row r="149" spans="1:9" ht="34.5" customHeight="1" x14ac:dyDescent="0.45">
      <c r="A149" s="12"/>
      <c r="B149" s="456" t="s">
        <v>162</v>
      </c>
      <c r="C149" s="456"/>
      <c r="D149" s="175" t="str">
        <f>IF(Beregningsmodell!D69="","",Beregningsmodell!D69)</f>
        <v/>
      </c>
      <c r="F149" s="250" t="s">
        <v>261</v>
      </c>
      <c r="G149" s="75"/>
      <c r="I149" s="88"/>
    </row>
    <row r="150" spans="1:9" ht="31.5" customHeight="1" x14ac:dyDescent="0.45">
      <c r="A150" s="12"/>
      <c r="B150" s="456" t="s">
        <v>163</v>
      </c>
      <c r="C150" s="456"/>
      <c r="D150" s="175" t="str">
        <f>IF(Beregningsmodell!D70="","",Beregningsmodell!D70)</f>
        <v/>
      </c>
      <c r="F150" s="250" t="s">
        <v>262</v>
      </c>
      <c r="G150" s="75"/>
      <c r="I150" s="88"/>
    </row>
    <row r="151" spans="1:9" ht="51" customHeight="1" x14ac:dyDescent="0.45">
      <c r="A151" s="12"/>
      <c r="B151" s="457" t="s">
        <v>164</v>
      </c>
      <c r="C151" s="457"/>
      <c r="D151" s="175" t="str">
        <f>IF(Beregningsmodell!D71="","",Beregningsmodell!D71)</f>
        <v/>
      </c>
      <c r="F151" s="167"/>
      <c r="G151" s="3"/>
    </row>
    <row r="152" spans="1:9" ht="26.25" customHeight="1" x14ac:dyDescent="0.45">
      <c r="A152" s="12"/>
      <c r="B152" s="29" t="s">
        <v>169</v>
      </c>
      <c r="C152" s="29"/>
      <c r="D152" s="204">
        <f>Beregningsmodell!D72</f>
        <v>0</v>
      </c>
      <c r="F152" s="12"/>
      <c r="G152" s="3"/>
    </row>
    <row r="153" spans="1:9" ht="15" customHeight="1" x14ac:dyDescent="0.45">
      <c r="A153" s="12"/>
      <c r="B153" s="94"/>
      <c r="C153" s="94"/>
      <c r="D153" s="176"/>
      <c r="G153" s="3"/>
    </row>
    <row r="154" spans="1:9" ht="32.25" customHeight="1" x14ac:dyDescent="0.45">
      <c r="B154" s="172" t="s">
        <v>172</v>
      </c>
      <c r="C154" s="173"/>
      <c r="D154" s="205">
        <f>Beregningsmodell!D74</f>
        <v>0</v>
      </c>
      <c r="F154" s="93" t="s">
        <v>258</v>
      </c>
      <c r="G154" s="75"/>
      <c r="H154" s="93"/>
      <c r="I154" s="88"/>
    </row>
    <row r="155" spans="1:9" ht="32.25" customHeight="1" x14ac:dyDescent="0.45">
      <c r="B155" s="174" t="s">
        <v>175</v>
      </c>
      <c r="C155" s="56"/>
      <c r="D155" s="202">
        <f>Beregningsmodell!D75</f>
        <v>0</v>
      </c>
      <c r="G155" s="3"/>
    </row>
    <row r="156" spans="1:9" x14ac:dyDescent="0.45">
      <c r="G156" s="3"/>
    </row>
    <row r="157" spans="1:9" x14ac:dyDescent="0.45">
      <c r="B157" s="4"/>
      <c r="C157" s="4"/>
      <c r="D157" s="5"/>
      <c r="E157" s="5"/>
      <c r="F157" s="4"/>
      <c r="G157" s="253"/>
      <c r="H157" s="4"/>
      <c r="I157" s="264"/>
    </row>
    <row r="160" spans="1:9" ht="18" x14ac:dyDescent="0.45">
      <c r="B160" s="225" t="s">
        <v>104</v>
      </c>
    </row>
    <row r="163" spans="6:9" x14ac:dyDescent="0.45">
      <c r="F163" s="47" t="s">
        <v>86</v>
      </c>
    </row>
    <row r="164" spans="6:9" ht="27" customHeight="1" x14ac:dyDescent="0.45">
      <c r="F164" s="459" t="s">
        <v>219</v>
      </c>
      <c r="G164" s="481"/>
      <c r="I164" s="483"/>
    </row>
    <row r="165" spans="6:9" ht="21.75" customHeight="1" x14ac:dyDescent="0.45">
      <c r="F165" s="459"/>
      <c r="G165" s="482"/>
      <c r="I165" s="484"/>
    </row>
    <row r="166" spans="6:9" ht="17.25" customHeight="1" x14ac:dyDescent="0.45"/>
    <row r="167" spans="6:9" ht="17.25" customHeight="1" x14ac:dyDescent="0.45">
      <c r="F167" s="459" t="s">
        <v>220</v>
      </c>
      <c r="G167" s="481"/>
      <c r="I167" s="483"/>
    </row>
    <row r="168" spans="6:9" ht="15" customHeight="1" x14ac:dyDescent="0.45">
      <c r="F168" s="459"/>
      <c r="G168" s="482"/>
      <c r="I168" s="484"/>
    </row>
    <row r="171" spans="6:9" x14ac:dyDescent="0.45">
      <c r="F171" s="495" t="s">
        <v>221</v>
      </c>
      <c r="G171" s="495"/>
      <c r="H171" s="495"/>
      <c r="I171" s="495"/>
    </row>
    <row r="172" spans="6:9" x14ac:dyDescent="0.45">
      <c r="F172" s="495"/>
      <c r="G172" s="495"/>
      <c r="H172" s="495"/>
      <c r="I172" s="495"/>
    </row>
    <row r="174" spans="6:9" x14ac:dyDescent="0.45">
      <c r="F174" s="497" t="s">
        <v>222</v>
      </c>
      <c r="G174" s="497"/>
      <c r="H174" s="497"/>
      <c r="I174" s="497"/>
    </row>
    <row r="175" spans="6:9" x14ac:dyDescent="0.45">
      <c r="F175" s="8"/>
      <c r="G175" s="257"/>
      <c r="H175" s="8"/>
      <c r="I175" s="23"/>
    </row>
    <row r="176" spans="6:9" x14ac:dyDescent="0.45">
      <c r="F176" s="497" t="s">
        <v>223</v>
      </c>
      <c r="G176" s="497"/>
      <c r="H176" s="497"/>
      <c r="I176" s="497"/>
    </row>
    <row r="177" spans="2:9" x14ac:dyDescent="0.45">
      <c r="F177" s="497"/>
      <c r="G177" s="497"/>
      <c r="H177" s="497"/>
      <c r="I177" s="497"/>
    </row>
    <row r="178" spans="2:9" x14ac:dyDescent="0.45">
      <c r="F178" s="222"/>
      <c r="G178" s="258"/>
      <c r="H178" s="222"/>
      <c r="I178" s="222"/>
    </row>
    <row r="179" spans="2:9" x14ac:dyDescent="0.45">
      <c r="F179" s="223" t="s">
        <v>224</v>
      </c>
      <c r="G179" s="258"/>
      <c r="H179" s="222"/>
      <c r="I179" s="222"/>
    </row>
    <row r="180" spans="2:9" x14ac:dyDescent="0.45">
      <c r="F180" s="224"/>
      <c r="G180" s="259"/>
      <c r="H180" s="224"/>
      <c r="I180" s="224"/>
    </row>
    <row r="181" spans="2:9" x14ac:dyDescent="0.45">
      <c r="C181" s="432" t="s">
        <v>34</v>
      </c>
      <c r="D181" s="18" t="s">
        <v>2</v>
      </c>
    </row>
    <row r="182" spans="2:9" x14ac:dyDescent="0.45">
      <c r="B182" s="31"/>
    </row>
    <row r="183" spans="2:9" ht="30" customHeight="1" x14ac:dyDescent="0.45">
      <c r="B183" s="11" t="s">
        <v>8</v>
      </c>
      <c r="C183" s="10" t="str">
        <f>IF(Beregningsmodell!C82="","",Beregningsmodell!C82)</f>
        <v/>
      </c>
      <c r="D183" s="10" t="str">
        <f>IF(Beregningsmodell!D82="","",Beregningsmodell!D82)</f>
        <v/>
      </c>
      <c r="F183" s="64" t="s">
        <v>225</v>
      </c>
      <c r="G183" s="75"/>
      <c r="I183" s="88"/>
    </row>
    <row r="184" spans="2:9" ht="30" customHeight="1" x14ac:dyDescent="0.45">
      <c r="B184" s="6" t="s">
        <v>18</v>
      </c>
      <c r="C184" s="10" t="str">
        <f>IF(Beregningsmodell!C87="","",Beregningsmodell!C87)</f>
        <v/>
      </c>
      <c r="D184" s="10" t="str">
        <f>IF(Beregningsmodell!D87="","",Beregningsmodell!D87)</f>
        <v/>
      </c>
      <c r="F184" s="27" t="s">
        <v>226</v>
      </c>
      <c r="G184" s="75"/>
      <c r="I184" s="88"/>
    </row>
    <row r="185" spans="2:9" ht="30" customHeight="1" x14ac:dyDescent="0.45">
      <c r="B185" s="6" t="s">
        <v>9</v>
      </c>
      <c r="C185" s="10" t="str">
        <f>IF(Beregningsmodell!C92="","",Beregningsmodell!C92)</f>
        <v/>
      </c>
      <c r="D185" s="10" t="str">
        <f>IF(Beregningsmodell!D92="","",Beregningsmodell!D92)</f>
        <v/>
      </c>
      <c r="F185" s="27" t="s">
        <v>227</v>
      </c>
      <c r="G185" s="75"/>
      <c r="I185" s="88"/>
    </row>
    <row r="186" spans="2:9" ht="30" customHeight="1" x14ac:dyDescent="0.45">
      <c r="B186" s="11" t="s">
        <v>10</v>
      </c>
      <c r="C186" s="10" t="str">
        <f>IF(Beregningsmodell!C97="","",Beregningsmodell!C97)</f>
        <v/>
      </c>
      <c r="D186" s="10" t="str">
        <f>IF(Beregningsmodell!D97="","",Beregningsmodell!D97)</f>
        <v/>
      </c>
      <c r="F186" s="64" t="s">
        <v>228</v>
      </c>
      <c r="G186" s="75"/>
      <c r="I186" s="88"/>
    </row>
    <row r="187" spans="2:9" ht="30" customHeight="1" x14ac:dyDescent="0.45">
      <c r="B187" s="6" t="s">
        <v>11</v>
      </c>
      <c r="C187" s="10" t="str">
        <f>IF(Beregningsmodell!C102="","",Beregningsmodell!C102)</f>
        <v/>
      </c>
      <c r="D187" s="10" t="str">
        <f>IF(Beregningsmodell!D102="","",Beregningsmodell!D102)</f>
        <v/>
      </c>
      <c r="F187" s="27" t="s">
        <v>229</v>
      </c>
      <c r="G187" s="75"/>
      <c r="I187" s="88"/>
    </row>
    <row r="188" spans="2:9" ht="45" customHeight="1" x14ac:dyDescent="0.45">
      <c r="B188" s="11" t="s">
        <v>12</v>
      </c>
      <c r="C188" s="10" t="str">
        <f>IF(Beregningsmodell!C107="","",Beregningsmodell!C107)</f>
        <v/>
      </c>
      <c r="D188" s="10" t="str">
        <f>IF(Beregningsmodell!D107="","",Beregningsmodell!D107)</f>
        <v/>
      </c>
      <c r="F188" s="64" t="s">
        <v>230</v>
      </c>
      <c r="G188" s="75"/>
      <c r="I188" s="88"/>
    </row>
    <row r="189" spans="2:9" ht="30" customHeight="1" x14ac:dyDescent="0.45">
      <c r="B189" s="6" t="s">
        <v>13</v>
      </c>
      <c r="C189" s="10" t="str">
        <f>IF(Beregningsmodell!C112="","",Beregningsmodell!C112)</f>
        <v/>
      </c>
      <c r="D189" s="10" t="str">
        <f>IF(Beregningsmodell!D112="","",Beregningsmodell!D112)</f>
        <v/>
      </c>
      <c r="F189" s="27" t="s">
        <v>231</v>
      </c>
      <c r="G189" s="75"/>
      <c r="I189" s="88"/>
    </row>
    <row r="190" spans="2:9" ht="30" customHeight="1" x14ac:dyDescent="0.45">
      <c r="B190" s="6" t="s">
        <v>14</v>
      </c>
      <c r="C190" s="10" t="str">
        <f>IF(Beregningsmodell!C117="","",Beregningsmodell!C117)</f>
        <v/>
      </c>
      <c r="D190" s="10" t="str">
        <f>IF(Beregningsmodell!D117="","",Beregningsmodell!D117)</f>
        <v/>
      </c>
      <c r="F190" s="27" t="s">
        <v>232</v>
      </c>
      <c r="G190" s="75"/>
      <c r="I190" s="88"/>
    </row>
    <row r="191" spans="2:9" ht="30" customHeight="1" x14ac:dyDescent="0.45">
      <c r="B191" s="11" t="s">
        <v>15</v>
      </c>
      <c r="C191" s="10" t="str">
        <f>IF(Beregningsmodell!C122="","",Beregningsmodell!C122)</f>
        <v/>
      </c>
      <c r="D191" s="10" t="str">
        <f>IF(Beregningsmodell!D122="","",Beregningsmodell!D122)</f>
        <v/>
      </c>
      <c r="F191" s="64" t="s">
        <v>233</v>
      </c>
      <c r="G191" s="75"/>
      <c r="I191" s="88"/>
    </row>
    <row r="192" spans="2:9" ht="30" customHeight="1" x14ac:dyDescent="0.45">
      <c r="B192" s="11" t="s">
        <v>16</v>
      </c>
      <c r="C192" s="10" t="str">
        <f>IF(Beregningsmodell!C127="","",Beregningsmodell!C127)</f>
        <v/>
      </c>
      <c r="D192" s="10" t="str">
        <f>IF(Beregningsmodell!D127="","",Beregningsmodell!D127)</f>
        <v/>
      </c>
      <c r="F192" s="64" t="s">
        <v>234</v>
      </c>
      <c r="G192" s="75"/>
      <c r="I192" s="88"/>
    </row>
    <row r="193" spans="2:11" ht="30" customHeight="1" x14ac:dyDescent="0.45">
      <c r="B193" s="11" t="s">
        <v>37</v>
      </c>
      <c r="C193" s="10" t="str">
        <f>IF(Beregningsmodell!C132="","",Beregningsmodell!C132)</f>
        <v/>
      </c>
      <c r="D193" s="10" t="str">
        <f>IF(Beregningsmodell!D132="","",Beregningsmodell!D132)</f>
        <v/>
      </c>
      <c r="F193" s="64" t="s">
        <v>235</v>
      </c>
      <c r="G193" s="75"/>
      <c r="I193" s="88"/>
    </row>
    <row r="194" spans="2:11" ht="30" customHeight="1" x14ac:dyDescent="0.45">
      <c r="B194" s="11" t="s">
        <v>188</v>
      </c>
      <c r="C194" s="10" t="str">
        <f>IF(Beregningsmodell!C137="","",Beregningsmodell!C137)</f>
        <v/>
      </c>
      <c r="D194" s="10" t="str">
        <f>IF(Beregningsmodell!D137="","",Beregningsmodell!D137)</f>
        <v/>
      </c>
      <c r="E194" s="24"/>
      <c r="F194" s="64" t="s">
        <v>236</v>
      </c>
      <c r="G194" s="75"/>
      <c r="I194" s="88"/>
      <c r="J194" s="226"/>
      <c r="K194" s="226"/>
    </row>
    <row r="195" spans="2:11" ht="33.75" customHeight="1" x14ac:dyDescent="0.45">
      <c r="B195" s="11" t="s">
        <v>264</v>
      </c>
      <c r="C195" s="10" t="str">
        <f>IF(Beregningsmodell!C142="","",Beregningsmodell!C142)</f>
        <v/>
      </c>
      <c r="D195" s="10" t="str">
        <f>IF(Beregningsmodell!D142="","",Beregningsmodell!D142)</f>
        <v/>
      </c>
      <c r="E195" s="24"/>
      <c r="F195" s="268" t="s">
        <v>265</v>
      </c>
      <c r="G195" s="75"/>
      <c r="I195" s="88"/>
      <c r="J195" s="226"/>
      <c r="K195" s="226"/>
    </row>
    <row r="196" spans="2:11" ht="30" customHeight="1" x14ac:dyDescent="0.45">
      <c r="B196" s="11" t="s">
        <v>263</v>
      </c>
      <c r="C196" s="10" t="str">
        <f>IF(Beregningsmodell!C147="","",Beregningsmodell!C147)</f>
        <v/>
      </c>
      <c r="D196" s="10" t="str">
        <f>IF(Beregningsmodell!D147="","",Beregningsmodell!D147)</f>
        <v/>
      </c>
      <c r="E196" s="24"/>
      <c r="F196" s="268" t="s">
        <v>266</v>
      </c>
      <c r="G196" s="75"/>
      <c r="I196" s="88"/>
      <c r="J196" s="226"/>
      <c r="K196" s="226"/>
    </row>
    <row r="197" spans="2:11" ht="28.5" customHeight="1" x14ac:dyDescent="0.45">
      <c r="B197" s="8"/>
      <c r="C197" s="8"/>
      <c r="G197" s="3"/>
    </row>
    <row r="198" spans="2:11" ht="33" customHeight="1" x14ac:dyDescent="0.45">
      <c r="B198" s="171" t="str">
        <f>Beregningsmodell!B154</f>
        <v xml:space="preserve"> Sum faste uunngåelige kostnader i perioden det søkes kompensasjon for</v>
      </c>
      <c r="C198" s="22"/>
      <c r="D198" s="180">
        <f>Beregningsmodell!D154</f>
        <v>0</v>
      </c>
      <c r="G198" s="3"/>
    </row>
    <row r="199" spans="2:11" ht="19.5" customHeight="1" x14ac:dyDescent="0.45">
      <c r="B199" s="4"/>
      <c r="C199" s="4"/>
      <c r="D199" s="5"/>
      <c r="E199" s="5"/>
      <c r="F199" s="4"/>
      <c r="G199" s="253"/>
      <c r="H199" s="4"/>
      <c r="I199" s="264"/>
    </row>
    <row r="200" spans="2:11" ht="19.5" customHeight="1" x14ac:dyDescent="0.45">
      <c r="B200" s="12"/>
      <c r="C200" s="12"/>
      <c r="D200" s="13"/>
      <c r="E200" s="13"/>
      <c r="F200" s="12"/>
      <c r="G200" s="380"/>
      <c r="H200" s="12"/>
      <c r="I200" s="381"/>
    </row>
    <row r="201" spans="2:11" ht="19.5" customHeight="1" x14ac:dyDescent="0.55000000000000004">
      <c r="B201" s="20" t="s">
        <v>320</v>
      </c>
      <c r="F201" s="47"/>
      <c r="G201" s="1"/>
      <c r="I201" s="1"/>
    </row>
    <row r="202" spans="2:11" ht="24.75" customHeight="1" x14ac:dyDescent="0.45">
      <c r="B202" s="199"/>
      <c r="G202" s="1"/>
      <c r="I202" s="1"/>
    </row>
    <row r="203" spans="2:11" ht="45.75" customHeight="1" x14ac:dyDescent="0.45">
      <c r="B203" s="500" t="str">
        <f>Beregningsmodell!B159</f>
        <v>Kom gjerne med en skriftlig redegjørelse for tapet her….</v>
      </c>
      <c r="C203" s="501"/>
      <c r="D203" s="502"/>
      <c r="F203" s="47"/>
      <c r="G203" s="1"/>
      <c r="I203" s="1"/>
    </row>
    <row r="204" spans="2:11" ht="24.75" customHeight="1" x14ac:dyDescent="0.45">
      <c r="B204" s="199"/>
      <c r="F204" s="47" t="s">
        <v>269</v>
      </c>
      <c r="G204" s="1"/>
      <c r="I204" s="1"/>
    </row>
    <row r="205" spans="2:11" ht="30" customHeight="1" x14ac:dyDescent="0.45">
      <c r="B205" s="6" t="s">
        <v>187</v>
      </c>
      <c r="C205" s="27"/>
      <c r="D205" s="240" t="str">
        <f>IF(Beregningsmodell!D161="","",Beregningsmodell!D161)</f>
        <v/>
      </c>
      <c r="F205" s="496" t="str">
        <f>IF(D205="Nei","Kontrollhandling ikke aktuell da foretaket ikke har søkt om erstatning for tapt varelager","Det foreligger en skriftlig redegjørelse der det beskrives hvorfor tapet oppstod med henvisning til statlig eller kommunalt pålegg om skjenkestopp eller stenging,"&amp;" hvorfor det ikke var mulig å unngå tapet, og hva som har skjedd med de tapte varene, jf. forskriften § 3-6 tredje ledd")</f>
        <v>Det foreligger en skriftlig redegjørelse der det beskrives hvorfor tapet oppstod med henvisning til statlig eller kommunalt pålegg om skjenkestopp eller stenging, hvorfor det ikke var mulig å unngå tapet, og hva som har skjedd med de tapte varene, jf. forskriften § 3-6 tredje ledd</v>
      </c>
      <c r="G205" s="481"/>
      <c r="I205" s="479"/>
    </row>
    <row r="206" spans="2:11" ht="34.5" customHeight="1" x14ac:dyDescent="0.45">
      <c r="B206" s="459" t="str">
        <f>IF(D205="Nei","Ikke relevant","Er foretaket pålagt skjenkestopp, eller å holde stengt iht covid-19 forskriften, eller tilsvarende kommunale forskrifter?")</f>
        <v>Er foretaket pålagt skjenkestopp, eller å holde stengt iht covid-19 forskriften, eller tilsvarende kommunale forskrifter?</v>
      </c>
      <c r="C206" s="459"/>
      <c r="D206" s="240" t="str">
        <f>IF(Beregningsmodell!D162="","",Beregningsmodell!D162)</f>
        <v/>
      </c>
      <c r="F206" s="496"/>
      <c r="G206" s="482"/>
      <c r="I206" s="480"/>
    </row>
    <row r="207" spans="2:11" ht="66" customHeight="1" x14ac:dyDescent="0.45">
      <c r="B207" s="459" t="str">
        <f>IF(D205="Nei","Ikke relavant","Er varene (som søkes kompensert) ferskvare som næringsmidler, andre bederverlige varer 
eller andre planter?")</f>
        <v>Er varene (som søkes kompensert) ferskvare som næringsmidler, andre bederverlige varer 
eller andre planter?</v>
      </c>
      <c r="C207" s="459"/>
      <c r="D207" s="240" t="str">
        <f>IF(Beregningsmodell!D163="","",Beregningsmodell!D163)</f>
        <v/>
      </c>
      <c r="F207" s="209" t="str">
        <f>IF(D205="Nei","Kontrollhandling ikke aktuell da foretaket ikke har søkt om erstatning for tapt varelager","Det foreligger en oppstilling over de enkelte varetypene som det søkes om kompensasjon for, med angivelse av antall eller mengde og anskaffelseskostnad, med henvisning til relevante bokføringsbilag, jf. § 3-6 tredje ledd")</f>
        <v>Det foreligger en oppstilling over de enkelte varetypene som det søkes om kompensasjon for, med angivelse av antall eller mengde og anskaffelseskostnad, med henvisning til relevante bokføringsbilag, jf. § 3-6 tredje ledd</v>
      </c>
      <c r="G207" s="75"/>
      <c r="I207" s="88"/>
    </row>
    <row r="208" spans="2:11" ht="47.25" customHeight="1" x14ac:dyDescent="0.45">
      <c r="B208" s="6" t="str">
        <f>IF(D205="Nei","Ikke relevant","Ble varene bestilt før pålegg om skjenkestopp og/eller å holde stengt?")</f>
        <v>Ble varene bestilt før pålegg om skjenkestopp og/eller å holde stengt?</v>
      </c>
      <c r="C208" s="27"/>
      <c r="D208" s="240" t="str">
        <f>IF(Beregningsmodell!D164="","",Beregningsmodell!D164)</f>
        <v/>
      </c>
      <c r="F208" s="209" t="str">
        <f>IF(D205="Nei","Kontrollhandling ikke aktuell da foretaket ikke har søkt om erstatning for tapt varelager","Kontroller at det som er opplyst i redegjørelsen om perioden for skjenkestopp eller stenging stemmer med de pålegg om skjenkestopp eller stenging som det er henvist til.")</f>
        <v>Kontroller at det som er opplyst i redegjørelsen om perioden for skjenkestopp eller stenging stemmer med de pålegg om skjenkestopp eller stenging som det er henvist til.</v>
      </c>
      <c r="G208" s="75"/>
      <c r="I208" s="88"/>
    </row>
    <row r="209" spans="2:9" ht="30" customHeight="1" x14ac:dyDescent="0.45">
      <c r="B209" s="472" t="str">
        <f>IF(D205="Nei","Ikke relevant","Går varene ut på dato, eller forringes slik at de ikke holder salgbar kvalitet, i løpet av den nedstengte perioden, eller innen 14 dager etter opphør av skjenkestopp og/eller stenging?")</f>
        <v>Går varene ut på dato, eller forringes slik at de ikke holder salgbar kvalitet, i løpet av den nedstengte perioden, eller innen 14 dager etter opphør av skjenkestopp og/eller stenging?</v>
      </c>
      <c r="C209" s="472"/>
      <c r="D209" s="240" t="str">
        <f>IF(Beregningsmodell!D165="","",Beregningsmodell!D165)</f>
        <v/>
      </c>
      <c r="F209" s="53" t="str">
        <f t="shared" ref="F209" si="0">IF(D209="Nei","Foretaket kan ikke søke om kompensasjon for tapt varelager","")</f>
        <v/>
      </c>
      <c r="G209" s="1"/>
      <c r="I209" s="1"/>
    </row>
    <row r="210" spans="2:9" ht="19.5" customHeight="1" x14ac:dyDescent="0.45">
      <c r="D210" s="207"/>
      <c r="G210" s="1"/>
      <c r="I210" s="1"/>
    </row>
    <row r="211" spans="2:9" ht="37.5" customHeight="1" x14ac:dyDescent="0.45">
      <c r="B211" s="6" t="str">
        <f>IF(D205="Nei","Ikke relevant","Oppgi varelagerets anskaffelseskostnad eksklusive særavgifter og fradragsberettiget mva")</f>
        <v>Oppgi varelagerets anskaffelseskostnad eksklusive særavgifter og fradragsberettiget mva</v>
      </c>
      <c r="C211" s="27"/>
      <c r="D211" s="239">
        <f>Beregningsmodell!D167</f>
        <v>0</v>
      </c>
      <c r="F211" s="93" t="s">
        <v>267</v>
      </c>
      <c r="G211" s="75"/>
      <c r="I211" s="88"/>
    </row>
    <row r="212" spans="2:9" ht="18.75" customHeight="1" x14ac:dyDescent="0.45">
      <c r="B212" s="6"/>
      <c r="C212" s="27"/>
      <c r="D212" s="208"/>
      <c r="G212" s="1"/>
      <c r="I212" s="1"/>
    </row>
    <row r="213" spans="2:9" ht="28.5" customHeight="1" x14ac:dyDescent="0.45">
      <c r="B213" s="6"/>
      <c r="C213" s="27"/>
      <c r="D213" s="208"/>
      <c r="F213" s="58" t="s">
        <v>268</v>
      </c>
      <c r="G213" s="1"/>
      <c r="I213" s="1"/>
    </row>
    <row r="214" spans="2:9" ht="12" customHeight="1" x14ac:dyDescent="0.45">
      <c r="B214" s="6"/>
      <c r="C214" s="27"/>
      <c r="D214" s="208"/>
    </row>
    <row r="215" spans="2:9" ht="31.5" customHeight="1" x14ac:dyDescent="0.45">
      <c r="B215" s="6"/>
      <c r="C215" s="27"/>
      <c r="D215" s="208"/>
      <c r="F215" s="93" t="str">
        <f>IF(D205="Nei","Kontrollhandling ikke aktuell da foretaket ikke har søkt om erstatning for tapt varelager","Antall eller mengde minst tilsvarer det som er oppgitt i oppstillingen")</f>
        <v>Antall eller mengde minst tilsvarer det som er oppgitt i oppstillingen</v>
      </c>
      <c r="G215" s="75"/>
      <c r="I215" s="88"/>
    </row>
    <row r="216" spans="2:9" ht="31.5" customHeight="1" x14ac:dyDescent="0.45">
      <c r="B216" s="6"/>
      <c r="C216" s="27"/>
      <c r="D216" s="208"/>
      <c r="F216" s="93" t="str">
        <f>IF(D205="Nei","Kontrollhandling ikke aktuell da foretaket ikke har søkt om erstatning for tapt varelager","Anskaffelseskostnad stemmer med det som er oppgitt i oppstillingen, og")</f>
        <v>Anskaffelseskostnad stemmer med det som er oppgitt i oppstillingen, og</v>
      </c>
      <c r="G216" s="75"/>
      <c r="I216" s="88"/>
    </row>
    <row r="217" spans="2:9" ht="31.5" customHeight="1" x14ac:dyDescent="0.45">
      <c r="B217" s="6"/>
      <c r="C217" s="27"/>
      <c r="D217" s="208"/>
      <c r="F217" s="93" t="str">
        <f>IF(D205="Nei","Kontrollhandling ikke aktuell da foretaket ikke har søkt om erstatning for tapt varelager","Varene var bestilt før pålegget om skjenkestopp eller å holde stengt ble gitt.")</f>
        <v>Varene var bestilt før pålegget om skjenkestopp eller å holde stengt ble gitt.</v>
      </c>
      <c r="G217" s="75"/>
      <c r="I217" s="88"/>
    </row>
    <row r="218" spans="2:9" ht="15.75" customHeight="1" x14ac:dyDescent="0.45">
      <c r="B218" s="6"/>
      <c r="C218" s="27"/>
      <c r="D218" s="208"/>
      <c r="G218" s="1"/>
      <c r="I218" s="1"/>
    </row>
    <row r="219" spans="2:9" ht="15.75" customHeight="1" x14ac:dyDescent="0.45">
      <c r="B219" s="6"/>
      <c r="C219" s="27"/>
      <c r="D219" s="208"/>
      <c r="G219" s="1"/>
      <c r="I219" s="1"/>
    </row>
    <row r="220" spans="2:9" ht="30.75" customHeight="1" x14ac:dyDescent="0.45">
      <c r="B220" s="472" t="str">
        <f>IF(D205="Nei","Ikke relevant","Har foretaket allerde mottatt erstatning for dette varelageret gjennom forskringsordning
 eller andre kilder?")</f>
        <v>Har foretaket allerde mottatt erstatning for dette varelageret gjennom forskringsordning
 eller andre kilder?</v>
      </c>
      <c r="C220" s="472"/>
      <c r="D220" s="240" t="str">
        <f>IF(Beregningsmodell!D169="","",Beregningsmodell!D169)</f>
        <v/>
      </c>
      <c r="G220" s="1"/>
      <c r="I220" s="1"/>
    </row>
    <row r="221" spans="2:9" ht="30" customHeight="1" x14ac:dyDescent="0.45">
      <c r="B221" s="6" t="str">
        <f>IF(OR(D205="Nei",D220="Nei"),"Ikke relevant","Oppi allerede mottatt erstatningsbeløp")</f>
        <v>Oppi allerede mottatt erstatningsbeløp</v>
      </c>
      <c r="C221" s="27"/>
      <c r="D221" s="239">
        <f>Beregningsmodell!D170</f>
        <v>0</v>
      </c>
      <c r="G221" s="1"/>
      <c r="I221" s="1"/>
    </row>
    <row r="222" spans="2:9" ht="19.5" customHeight="1" x14ac:dyDescent="0.45">
      <c r="D222" s="207"/>
      <c r="G222" s="1"/>
      <c r="I222" s="1"/>
    </row>
    <row r="223" spans="2:9" ht="30.75" customHeight="1" x14ac:dyDescent="0.45">
      <c r="B223" s="172" t="s">
        <v>273</v>
      </c>
      <c r="C223" s="273"/>
      <c r="D223" s="205">
        <f>Beregningsmodell!D172</f>
        <v>0</v>
      </c>
      <c r="G223" s="1"/>
      <c r="I223" s="1"/>
    </row>
    <row r="224" spans="2:9" ht="30.75" customHeight="1" x14ac:dyDescent="0.45">
      <c r="B224" s="274" t="s">
        <v>274</v>
      </c>
      <c r="C224" s="179"/>
      <c r="D224" s="275">
        <f>Beregningsmodell!D173</f>
        <v>0</v>
      </c>
      <c r="G224" s="1"/>
      <c r="I224" s="1"/>
    </row>
    <row r="225" spans="2:9" ht="19.5" customHeight="1" x14ac:dyDescent="0.45">
      <c r="B225" s="4"/>
      <c r="C225" s="4"/>
      <c r="D225" s="5"/>
      <c r="E225" s="5"/>
      <c r="F225" s="4"/>
      <c r="G225" s="253"/>
      <c r="H225" s="4"/>
      <c r="I225" s="264"/>
    </row>
    <row r="226" spans="2:9" ht="19.5" customHeight="1" x14ac:dyDescent="0.45">
      <c r="B226" s="12"/>
      <c r="C226" s="12"/>
      <c r="D226" s="13"/>
      <c r="E226" s="13"/>
      <c r="F226" s="12"/>
      <c r="G226" s="380"/>
      <c r="H226" s="12"/>
      <c r="I226" s="381"/>
    </row>
    <row r="227" spans="2:9" ht="18" x14ac:dyDescent="0.55000000000000004">
      <c r="B227" s="213" t="s">
        <v>146</v>
      </c>
      <c r="C227" s="9"/>
      <c r="D227" s="1"/>
    </row>
    <row r="228" spans="2:9" ht="15" customHeight="1" x14ac:dyDescent="0.55000000000000004">
      <c r="B228" s="20"/>
      <c r="C228" s="9"/>
      <c r="D228" s="15"/>
    </row>
    <row r="229" spans="2:9" ht="26.85" customHeight="1" x14ac:dyDescent="0.45">
      <c r="B229" s="6" t="s">
        <v>31</v>
      </c>
      <c r="C229" s="27"/>
      <c r="D229" s="166">
        <f>Beregningsmodell!D178</f>
        <v>0</v>
      </c>
      <c r="E229" s="24"/>
      <c r="F229" s="52"/>
      <c r="G229" s="1"/>
      <c r="I229" s="1"/>
    </row>
    <row r="230" spans="2:9" ht="26.85" customHeight="1" x14ac:dyDescent="0.45">
      <c r="B230" s="6" t="str">
        <f>Beregningsmodell!B179</f>
        <v>Øvre grense iht kontroll mot omsetningsreduksjon målt i kroner</v>
      </c>
      <c r="C230" s="27"/>
      <c r="D230" s="166">
        <f>Beregningsmodell!D179</f>
        <v>0</v>
      </c>
      <c r="E230" s="24"/>
      <c r="F230" s="189" t="str">
        <f>(IF(D230&lt;D229,"Kompensasjon begrenses til omsetningsreduksjon målt i kr",""))</f>
        <v/>
      </c>
      <c r="G230" s="1"/>
      <c r="I230" s="1"/>
    </row>
    <row r="231" spans="2:9" ht="26.85" customHeight="1" x14ac:dyDescent="0.45">
      <c r="B231" s="6" t="str">
        <f>Beregningsmodell!B180</f>
        <v>Øvre grense iht kontroll mot driftsresultat målt i kroner</v>
      </c>
      <c r="C231" s="27"/>
      <c r="D231" s="166">
        <f>Beregningsmodell!D180</f>
        <v>0</v>
      </c>
      <c r="E231" s="24"/>
      <c r="F231" s="189" t="str">
        <f>IF(D231&lt;D229,"Kompensasjon begrenses av driftsresultatet målt i kroner","")</f>
        <v/>
      </c>
      <c r="G231" s="1"/>
      <c r="I231" s="1"/>
    </row>
    <row r="232" spans="2:9" ht="26.85" customHeight="1" x14ac:dyDescent="0.45">
      <c r="B232" s="6" t="str">
        <f>Beregningsmodell!B181</f>
        <v>Øvre grense iht kontroll mot underskudd vs tapt varelager</v>
      </c>
      <c r="C232" s="27"/>
      <c r="D232" s="166">
        <f>Beregningsmodell!D181</f>
        <v>0</v>
      </c>
      <c r="E232" s="24"/>
      <c r="F232" s="189"/>
      <c r="G232" s="1"/>
      <c r="I232" s="1"/>
    </row>
    <row r="233" spans="2:9" ht="26.85" customHeight="1" x14ac:dyDescent="0.45">
      <c r="B233" s="6" t="str">
        <f>Beregningsmodell!B182</f>
        <v>Øvre grense iht kontroll mot maksimumbeløp</v>
      </c>
      <c r="C233" s="27"/>
      <c r="D233" s="166">
        <f>Beregningsmodell!D182</f>
        <v>0</v>
      </c>
      <c r="E233" s="24"/>
      <c r="F233" s="189" t="str">
        <f>IF(D229=0,"",IF(D229&gt;=100000000,"Tilskuddet vil bli begrenset til maksbeløpet på 100 mill.",IF(D229&gt;40000000,"For tilskudd over 40 mill. vil beløpet over 40 mill. bli avkortet med en faktor på 0,5","")))</f>
        <v/>
      </c>
      <c r="G233" s="1"/>
      <c r="I233" s="1"/>
    </row>
    <row r="234" spans="2:9" ht="31.9" customHeight="1" x14ac:dyDescent="0.45">
      <c r="B234" s="498" t="s">
        <v>179</v>
      </c>
      <c r="C234" s="499"/>
      <c r="D234" s="180">
        <f>Beregningsmodell!D183</f>
        <v>0</v>
      </c>
      <c r="E234" s="24"/>
      <c r="F234" s="192" t="str">
        <f>IF(AND(F230="",F231="",F233=""),"",_xlfn.XLOOKUP(D234,D229:D233,F229:F233))</f>
        <v/>
      </c>
      <c r="G234" s="35"/>
      <c r="H234" s="35"/>
      <c r="I234" s="1"/>
    </row>
    <row r="235" spans="2:9" x14ac:dyDescent="0.45">
      <c r="B235" s="4"/>
      <c r="C235" s="4"/>
      <c r="D235" s="5"/>
      <c r="E235" s="5"/>
      <c r="F235" s="4"/>
      <c r="G235" s="253"/>
      <c r="H235" s="4"/>
      <c r="I235" s="264"/>
    </row>
    <row r="237" spans="2:9" ht="18" x14ac:dyDescent="0.55000000000000004">
      <c r="B237" s="213" t="s">
        <v>322</v>
      </c>
    </row>
    <row r="238" spans="2:9" ht="18.399999999999999" customHeight="1" x14ac:dyDescent="0.45">
      <c r="B238" s="32" t="str">
        <f>HYPERLINK("https://lovdata.no/forskrift/2020-12-21-3085/§3-1","Ref forskriften § 3-1 (4)")</f>
        <v>Ref forskriften § 3-1 (4)</v>
      </c>
    </row>
    <row r="239" spans="2:9" s="27" customFormat="1" ht="54.75" customHeight="1" x14ac:dyDescent="0.45">
      <c r="B239" s="459" t="s">
        <v>6</v>
      </c>
      <c r="C239" s="459"/>
      <c r="D239" s="227" t="str">
        <f>IF(Beregningsmodell!D188="","",Beregningsmodell!D188)</f>
        <v/>
      </c>
      <c r="E239" s="24"/>
      <c r="F239" s="228" t="s">
        <v>237</v>
      </c>
      <c r="G239" s="24"/>
      <c r="I239" s="39"/>
    </row>
    <row r="240" spans="2:9" s="27" customFormat="1" ht="53.25" customHeight="1" x14ac:dyDescent="0.45">
      <c r="B240" s="459" t="str">
        <f>IF(D239="Nei","Ikke relevant","Vennligst angi ordinært resultat før skatt i 2019 (NB! bruk minustegn ved underskudd)")</f>
        <v>Vennligst angi ordinært resultat før skatt i 2019 (NB! bruk minustegn ved underskudd)</v>
      </c>
      <c r="C240" s="459"/>
      <c r="D240" s="10" t="str">
        <f>IF(Beregningsmodell!D189="","",Beregningsmodell!D189)</f>
        <v/>
      </c>
      <c r="E240" s="24"/>
      <c r="F240" s="11" t="str">
        <f>IF(D239="Ja","Kontroller at opplysningen i søknaden om ordinært resultat før skattekostnad stemmer med denne posten i foretakets årsregnskap for siste regnskapsår avsluttet før 1. mars 2020.","Kontroll av ORFS skal kun gjennomføres dersom foretaket faktisk hadde et negativt ordinært resultat før skatt i 2019.")</f>
        <v>Kontroll av ORFS skal kun gjennomføres dersom foretaket faktisk hadde et negativt ordinært resultat før skatt i 2019.</v>
      </c>
      <c r="G240" s="75"/>
      <c r="H240" s="1"/>
      <c r="I240" s="88"/>
    </row>
    <row r="241" spans="2:9" ht="30.95" customHeight="1" x14ac:dyDescent="0.45">
      <c r="B241" s="459" t="str">
        <f>IF(D239="Nei","Ikke relevant","Vennligst angi antall måneder i 2019-regnskapet")</f>
        <v>Vennligst angi antall måneder i 2019-regnskapet</v>
      </c>
      <c r="C241" s="459"/>
      <c r="D241" s="10" t="str">
        <f>IF(Beregningsmodell!D190="","",Beregningsmodell!D190)</f>
        <v/>
      </c>
    </row>
    <row r="242" spans="2:9" ht="30.95" customHeight="1" x14ac:dyDescent="0.45">
      <c r="B242" s="459" t="str">
        <f>IF(D239="Nei","Ikke relevant","Estimert gjennomsnittlig underskudd per måned")</f>
        <v>Estimert gjennomsnittlig underskudd per måned</v>
      </c>
      <c r="C242" s="459"/>
      <c r="D242" s="10" t="str">
        <f>IF(Beregningsmodell!D191="","",Beregningsmodell!D191)</f>
        <v/>
      </c>
    </row>
    <row r="243" spans="2:9" ht="13.5" customHeight="1" x14ac:dyDescent="0.5">
      <c r="B243" s="93"/>
      <c r="C243" s="93"/>
      <c r="D243" s="28"/>
      <c r="F243" s="229" t="s">
        <v>238</v>
      </c>
    </row>
    <row r="244" spans="2:9" ht="42.75" customHeight="1" x14ac:dyDescent="0.45">
      <c r="B244" s="459" t="str">
        <f>IF(D239="Nei","Ikke relevant","Hadde foretaket et høyere gjennomsnittlig ordinært resultat før skatt i jan. og feb. 2020?")</f>
        <v>Hadde foretaket et høyere gjennomsnittlig ordinært resultat før skatt i jan. og feb. 2020?</v>
      </c>
      <c r="C244" s="459"/>
      <c r="D244" s="227" t="str">
        <f>IF(Beregningsmodell!D193="","",Beregningsmodell!D193)</f>
        <v/>
      </c>
      <c r="F244" s="60" t="s">
        <v>239</v>
      </c>
    </row>
    <row r="245" spans="2:9" ht="31.5" customHeight="1" x14ac:dyDescent="0.45">
      <c r="B245" s="459" t="str">
        <f>[1]Beregningsmodell!B129</f>
        <v>Vennligst angi gjennomsnittlig ordinært resultat før skatt per måned i perioden jan. og feb. 2020 (NB bruk minustegn ved underskudd)</v>
      </c>
      <c r="C245" s="459"/>
      <c r="D245" s="10" t="str">
        <f>IF(Beregningsmodell!D194="","",Beregningsmodell!D194)</f>
        <v/>
      </c>
      <c r="F245" s="11" t="str">
        <f>IF(D244="Ja","Henvisning til relevant regnskapsmateriale.","Kontrollhandling ikke aktuell.")</f>
        <v>Kontrollhandling ikke aktuell.</v>
      </c>
      <c r="G245" s="75"/>
      <c r="I245" s="88"/>
    </row>
    <row r="246" spans="2:9" ht="31.5" customHeight="1" x14ac:dyDescent="0.45">
      <c r="B246" s="93"/>
      <c r="C246" s="93"/>
      <c r="D246" s="93"/>
      <c r="E246" s="93"/>
      <c r="F246" s="11" t="str">
        <f>IF(D244="Ja","Informasjon om hvordan inntektene og kostnadene er periodisert.","Kontrollhandling ikke aktuell.")</f>
        <v>Kontrollhandling ikke aktuell.</v>
      </c>
      <c r="G246" s="75"/>
      <c r="I246" s="88"/>
    </row>
    <row r="247" spans="2:9" ht="31.5" customHeight="1" x14ac:dyDescent="0.45">
      <c r="B247" s="93"/>
      <c r="C247" s="93"/>
      <c r="D247" s="93"/>
      <c r="E247" s="93"/>
      <c r="F247" s="11" t="str">
        <f>IF(D244="Ja","Kontroller oppstilling av periodens inntekter mot bokførte inntekter, og at eventuelle avvik er forklart og dokumentert","Kontrollhandling ikke aktuell.")</f>
        <v>Kontrollhandling ikke aktuell.</v>
      </c>
      <c r="G247" s="75"/>
      <c r="I247" s="88"/>
    </row>
    <row r="248" spans="2:9" ht="31.5" customHeight="1" x14ac:dyDescent="0.45">
      <c r="B248" s="93"/>
      <c r="C248" s="93"/>
      <c r="D248" s="93"/>
      <c r="F248" s="11" t="str">
        <f>IF(D244="Ja","Kontroller oppstilling av periodens kostnader mot bokførte kostnader, og at eventuelle avvik er forklart og dokumentert.","Kontrollhandling ikke aktuell.")</f>
        <v>Kontrollhandling ikke aktuell.</v>
      </c>
      <c r="G248" s="75"/>
      <c r="I248" s="88"/>
    </row>
    <row r="249" spans="2:9" ht="20.25" customHeight="1" x14ac:dyDescent="0.45">
      <c r="B249" s="93"/>
      <c r="C249" s="93"/>
      <c r="D249" s="93"/>
      <c r="F249" s="230"/>
      <c r="G249" s="260"/>
      <c r="H249" s="220"/>
      <c r="I249" s="267"/>
    </row>
    <row r="250" spans="2:9" ht="31.5" customHeight="1" x14ac:dyDescent="0.45">
      <c r="B250" s="93"/>
      <c r="C250" s="93"/>
      <c r="D250" s="93"/>
      <c r="F250" s="231" t="s">
        <v>240</v>
      </c>
      <c r="G250" s="261"/>
      <c r="I250" s="232"/>
    </row>
    <row r="251" spans="2:9" ht="31.5" customHeight="1" x14ac:dyDescent="0.45">
      <c r="B251" s="93"/>
      <c r="C251" s="93"/>
      <c r="D251" s="93"/>
      <c r="F251" s="11" t="str">
        <f>IF(D244="Ja","Kontroller at alle inntekter er med, dvs. salgsinntekter, driftsinntekter, offentlige tilskudd, finansinntekter, gevinster mv.","Kontrollhandling ikke aktuell.")</f>
        <v>Kontrollhandling ikke aktuell.</v>
      </c>
      <c r="G251" s="75"/>
      <c r="I251" s="88"/>
    </row>
    <row r="252" spans="2:9" ht="24" customHeight="1" x14ac:dyDescent="0.45">
      <c r="B252" s="93"/>
      <c r="C252" s="93"/>
      <c r="D252" s="93"/>
      <c r="F252" s="59" t="s">
        <v>199</v>
      </c>
      <c r="G252" s="255"/>
      <c r="H252" s="11"/>
      <c r="I252" s="93"/>
    </row>
    <row r="253" spans="2:9" ht="51.75" customHeight="1" x14ac:dyDescent="0.45">
      <c r="B253" s="93"/>
      <c r="C253" s="93"/>
      <c r="D253" s="93"/>
      <c r="F253" s="11" t="str">
        <f>IF(D244="Ja","Ta et tilfeldig utvalg på 5 salgsbilag i desember 2019 og 5 salgsbilag i januar 2020 og kontroller om det foreligger underliggende dokumentasjon som viser at inntekten er riktig periodisert.","Kontrollhandling ikke aktuell.")</f>
        <v>Kontrollhandling ikke aktuell.</v>
      </c>
      <c r="G253" s="75"/>
      <c r="I253" s="88"/>
    </row>
    <row r="254" spans="2:9" ht="24" customHeight="1" x14ac:dyDescent="0.45">
      <c r="B254" s="93"/>
      <c r="C254" s="93"/>
      <c r="D254" s="93"/>
      <c r="F254" s="59" t="s">
        <v>80</v>
      </c>
      <c r="G254" s="255"/>
      <c r="H254" s="11"/>
      <c r="I254" s="93"/>
    </row>
    <row r="255" spans="2:9" ht="63" customHeight="1" x14ac:dyDescent="0.45">
      <c r="B255" s="93"/>
      <c r="C255" s="93"/>
      <c r="D255" s="93"/>
      <c r="F255" s="11" t="str">
        <f>IF(D244="Ja","Ta et tilfeldig utvalg korreksjoner i perioden som tilsvarer 20 % av antall korreksjoner (minimum 4 og maksimum 10) og kontroller om det foreligger dokumentasjon som tilsier at korreksjonen er reell og tatt med i rett periode. "&amp;"   Ha et særlig fokus på tilbakeførte kreditnotaer.","Kontrollhandling ikke aktuell.")</f>
        <v>Kontrollhandling ikke aktuell.</v>
      </c>
      <c r="G255" s="75"/>
      <c r="I255" s="88"/>
    </row>
    <row r="256" spans="2:9" ht="31.5" customHeight="1" x14ac:dyDescent="0.45">
      <c r="B256" s="93"/>
      <c r="C256" s="93"/>
      <c r="D256" s="93"/>
      <c r="F256" s="59" t="s">
        <v>241</v>
      </c>
      <c r="G256" s="255"/>
      <c r="H256" s="11"/>
      <c r="I256" s="93"/>
    </row>
    <row r="257" spans="2:9" ht="31.5" customHeight="1" x14ac:dyDescent="0.45">
      <c r="B257" s="93"/>
      <c r="C257" s="93"/>
      <c r="D257" s="93"/>
      <c r="F257" s="11" t="str">
        <f>IF(D244="Ja","Kontroller om rapportert inntekt for tilvirkningskontraktene er basert på løpende avregnings metode, inkludert fortjeneste.","Kontrollhandling ikke aktuell.")</f>
        <v>Kontrollhandling ikke aktuell.</v>
      </c>
      <c r="G257" s="75"/>
      <c r="I257" s="88"/>
    </row>
    <row r="258" spans="2:9" ht="21.75" customHeight="1" x14ac:dyDescent="0.45">
      <c r="B258" s="93"/>
      <c r="C258" s="93"/>
      <c r="D258" s="93"/>
      <c r="F258" s="230"/>
      <c r="G258" s="262"/>
      <c r="H258" s="230"/>
      <c r="I258" s="218"/>
    </row>
    <row r="259" spans="2:9" ht="31.5" customHeight="1" x14ac:dyDescent="0.45">
      <c r="B259" s="93"/>
      <c r="C259" s="93"/>
      <c r="D259" s="93"/>
      <c r="F259" s="231" t="s">
        <v>242</v>
      </c>
      <c r="G259" s="255"/>
      <c r="H259" s="11"/>
      <c r="I259" s="93"/>
    </row>
    <row r="260" spans="2:9" ht="95.65" customHeight="1" x14ac:dyDescent="0.45">
      <c r="B260" s="93"/>
      <c r="C260" s="93"/>
      <c r="D260" s="93"/>
      <c r="F260" s="11" t="str">
        <f>IF(D244="Ja","Ta de 10 kostnadskontoene med størst saldo, samt et tilfeldig utvalg av 3 kontoer der saldoen per januar og februar 2020 utgjør mer enn kr 10 000. Ta et tilfeldig utvalg underlagsdokumentasjon (kostnadsbilag, avtaler o.l.) pr konto,"&amp;" som totalt utgjør 20 % av kostnadene pr konto (minimum 3 og maksimum 10) og kontroller at det foreligger underliggende dokumentasjon som viser at kostnaden er gyldig og eventuelt følger av avtale.","Kontrollhandling ikke aktuell.")</f>
        <v>Kontrollhandling ikke aktuell.</v>
      </c>
      <c r="G260" s="75"/>
      <c r="I260" s="88"/>
    </row>
    <row r="261" spans="2:9" ht="46.5" customHeight="1" x14ac:dyDescent="0.45">
      <c r="B261" s="93"/>
      <c r="C261" s="93"/>
      <c r="D261" s="93"/>
      <c r="F261" s="11" t="str">
        <f>IF(D244="Ja","Kontroller at periodiseringsposter som lønn, avskrivninger, varekostand, forsikringer, husleie mv. er tatt med og korrekt periodisert.","Kontrollhandling ikke aktuell")</f>
        <v>Kontrollhandling ikke aktuell</v>
      </c>
      <c r="G261" s="75"/>
      <c r="I261" s="88"/>
    </row>
    <row r="262" spans="2:9" ht="31.5" customHeight="1" x14ac:dyDescent="0.45">
      <c r="B262" s="93"/>
      <c r="C262" s="93"/>
      <c r="D262" s="93"/>
      <c r="F262" s="11"/>
      <c r="G262" s="255"/>
      <c r="H262" s="11"/>
      <c r="I262" s="93"/>
    </row>
    <row r="263" spans="2:9" ht="17.45" customHeight="1" x14ac:dyDescent="0.45">
      <c r="B263" s="93"/>
      <c r="C263" s="93"/>
      <c r="D263" s="28"/>
    </row>
    <row r="264" spans="2:9" ht="33" customHeight="1" x14ac:dyDescent="0.45">
      <c r="B264" s="171" t="s">
        <v>32</v>
      </c>
      <c r="C264" s="22"/>
      <c r="D264" s="233" t="str">
        <f>Beregningsmodell!D196</f>
        <v/>
      </c>
    </row>
    <row r="265" spans="2:9" ht="18" customHeight="1" x14ac:dyDescent="0.45">
      <c r="B265" s="48"/>
      <c r="C265" s="48"/>
      <c r="D265" s="49"/>
      <c r="E265" s="5"/>
      <c r="F265" s="4"/>
      <c r="G265" s="253"/>
      <c r="H265" s="4"/>
      <c r="I265" s="264"/>
    </row>
    <row r="266" spans="2:9" ht="18" customHeight="1" x14ac:dyDescent="0.45">
      <c r="B266" s="234"/>
      <c r="C266" s="234"/>
      <c r="D266" s="235"/>
    </row>
    <row r="267" spans="2:9" ht="18" x14ac:dyDescent="0.55000000000000004">
      <c r="B267" s="213" t="s">
        <v>318</v>
      </c>
    </row>
    <row r="268" spans="2:9" x14ac:dyDescent="0.45">
      <c r="D268" s="38"/>
    </row>
    <row r="269" spans="2:9" ht="33.4" customHeight="1" x14ac:dyDescent="0.45">
      <c r="B269" s="182" t="str">
        <f>Beregningsmodell!B201</f>
        <v xml:space="preserve"> Estimert tilskudd</v>
      </c>
      <c r="C269" s="181"/>
      <c r="D269" s="180">
        <f>Beregningsmodell!D201</f>
        <v>0</v>
      </c>
      <c r="E269" s="24"/>
    </row>
    <row r="270" spans="2:9" ht="19.5" customHeight="1" x14ac:dyDescent="0.45"/>
    <row r="271" spans="2:9" ht="37.5" customHeight="1" x14ac:dyDescent="0.45">
      <c r="B271" s="494" t="s">
        <v>105</v>
      </c>
      <c r="C271" s="494"/>
      <c r="D271" s="214"/>
    </row>
    <row r="272" spans="2:9" ht="36" customHeight="1" x14ac:dyDescent="0.45">
      <c r="B272" s="494" t="str">
        <f>IF(D271="Ja","Angi hvor mye foretaket har mottatt i erstatning",IF(D271="Nei, men planlegger å søke","Merk at eventuelle fremtidige erstatninger skal komme til fratrekk i tilskuddet, og dersom tilskuddet utbetales før evt. forsikringssum, gir det grunnlag for tilbakebetaling",IF(D271="Nei, og kommer ikke til å søke","Ikke relevant","Eventuelle erstatningsoppgjør skal komme til fratrekk av tilskuddet")))</f>
        <v>Eventuelle erstatningsoppgjør skal komme til fratrekk av tilskuddet</v>
      </c>
      <c r="C272" s="503"/>
      <c r="D272" s="10"/>
    </row>
    <row r="273" spans="2:9" ht="19.5" customHeight="1" thickBot="1" x14ac:dyDescent="0.5">
      <c r="B273" s="236"/>
      <c r="C273" s="236"/>
      <c r="D273" s="70"/>
    </row>
    <row r="274" spans="2:9" ht="39" customHeight="1" thickBot="1" x14ac:dyDescent="0.5">
      <c r="B274" s="178" t="s">
        <v>319</v>
      </c>
      <c r="C274" s="86"/>
      <c r="D274" s="237">
        <f>Beregningsmodell!D206</f>
        <v>0</v>
      </c>
    </row>
    <row r="275" spans="2:9" ht="19.5" customHeight="1" x14ac:dyDescent="0.45">
      <c r="B275" s="4"/>
      <c r="C275" s="4"/>
      <c r="D275" s="5"/>
      <c r="E275" s="5"/>
      <c r="F275" s="4"/>
      <c r="G275" s="253"/>
      <c r="H275" s="4"/>
      <c r="I275" s="264"/>
    </row>
    <row r="276" spans="2:9" ht="19.5" customHeight="1" x14ac:dyDescent="0.45"/>
    <row r="277" spans="2:9" ht="19.5" customHeight="1" x14ac:dyDescent="0.55000000000000004">
      <c r="B277" s="20" t="s">
        <v>321</v>
      </c>
    </row>
    <row r="278" spans="2:9" ht="19.5" customHeight="1" x14ac:dyDescent="0.55000000000000004">
      <c r="B278" s="20"/>
    </row>
    <row r="279" spans="2:9" x14ac:dyDescent="0.45">
      <c r="B279" s="16" t="s">
        <v>35</v>
      </c>
    </row>
    <row r="280" spans="2:9" x14ac:dyDescent="0.45">
      <c r="B280" s="16" t="s">
        <v>36</v>
      </c>
    </row>
    <row r="281" spans="2:9" ht="8.25" customHeight="1" x14ac:dyDescent="0.45">
      <c r="B281" s="16"/>
    </row>
    <row r="282" spans="2:9" ht="30.75" customHeight="1" x14ac:dyDescent="0.45">
      <c r="B282" s="6" t="s">
        <v>33</v>
      </c>
      <c r="C282" s="27"/>
      <c r="D282" s="239">
        <f>Beregningsmodell!D215</f>
        <v>0</v>
      </c>
    </row>
    <row r="283" spans="2:9" ht="30.75" customHeight="1" x14ac:dyDescent="0.45">
      <c r="B283" s="6" t="s">
        <v>158</v>
      </c>
      <c r="C283" s="27"/>
      <c r="D283" s="164">
        <f>Beregningsmodell!D216</f>
        <v>0</v>
      </c>
    </row>
    <row r="284" spans="2:9" x14ac:dyDescent="0.45">
      <c r="B284" s="27"/>
      <c r="C284" s="27"/>
      <c r="D284" s="24"/>
    </row>
    <row r="285" spans="2:9" ht="34.5" customHeight="1" x14ac:dyDescent="0.45">
      <c r="B285" s="179" t="s">
        <v>194</v>
      </c>
      <c r="C285" s="54"/>
      <c r="D285" s="201">
        <f>Beregningsmodell!D218</f>
        <v>0</v>
      </c>
      <c r="E285" s="5"/>
      <c r="F285" s="4"/>
      <c r="G285" s="253"/>
      <c r="H285" s="4"/>
      <c r="I285" s="264"/>
    </row>
    <row r="288" spans="2:9" s="27" customFormat="1" ht="26.25" customHeight="1" x14ac:dyDescent="0.45">
      <c r="D288" s="24"/>
      <c r="E288" s="24"/>
      <c r="F288" s="272" t="s">
        <v>243</v>
      </c>
      <c r="G288" s="256"/>
      <c r="I288" s="39"/>
    </row>
    <row r="289" spans="6:9" x14ac:dyDescent="0.45">
      <c r="F289" s="493" t="s">
        <v>244</v>
      </c>
      <c r="G289" s="493"/>
      <c r="H289" s="493"/>
      <c r="I289" s="493"/>
    </row>
    <row r="290" spans="6:9" x14ac:dyDescent="0.45">
      <c r="F290" s="493"/>
      <c r="G290" s="493"/>
      <c r="H290" s="493"/>
      <c r="I290" s="493"/>
    </row>
    <row r="291" spans="6:9" x14ac:dyDescent="0.45">
      <c r="F291" s="27" t="s">
        <v>245</v>
      </c>
    </row>
    <row r="293" spans="6:9" ht="35.25" customHeight="1" x14ac:dyDescent="0.45">
      <c r="F293" s="238" t="s">
        <v>246</v>
      </c>
      <c r="G293" s="490"/>
      <c r="H293" s="491"/>
      <c r="I293" s="492"/>
    </row>
  </sheetData>
  <sheetProtection sheet="1" formatCells="0" formatColumns="0" formatRows="0" insertColumns="0" insertRows="0" selectLockedCells="1"/>
  <mergeCells count="88">
    <mergeCell ref="B203:D203"/>
    <mergeCell ref="B207:C207"/>
    <mergeCell ref="B209:C209"/>
    <mergeCell ref="B220:C220"/>
    <mergeCell ref="B272:C272"/>
    <mergeCell ref="G205:G206"/>
    <mergeCell ref="B239:C239"/>
    <mergeCell ref="B240:C240"/>
    <mergeCell ref="B234:C234"/>
    <mergeCell ref="B206:C206"/>
    <mergeCell ref="F174:I174"/>
    <mergeCell ref="F176:I177"/>
    <mergeCell ref="F167:F168"/>
    <mergeCell ref="G167:G168"/>
    <mergeCell ref="I167:I168"/>
    <mergeCell ref="G293:I293"/>
    <mergeCell ref="B142:C142"/>
    <mergeCell ref="B143:C143"/>
    <mergeCell ref="B147:C147"/>
    <mergeCell ref="B148:C148"/>
    <mergeCell ref="B149:C149"/>
    <mergeCell ref="B150:C150"/>
    <mergeCell ref="B151:C151"/>
    <mergeCell ref="B241:C241"/>
    <mergeCell ref="B242:C242"/>
    <mergeCell ref="B244:C244"/>
    <mergeCell ref="B245:C245"/>
    <mergeCell ref="F289:I290"/>
    <mergeCell ref="B271:C271"/>
    <mergeCell ref="F171:I172"/>
    <mergeCell ref="F205:F206"/>
    <mergeCell ref="B96:C96"/>
    <mergeCell ref="B98:C98"/>
    <mergeCell ref="F164:F165"/>
    <mergeCell ref="G164:G165"/>
    <mergeCell ref="I164:I165"/>
    <mergeCell ref="I115:I116"/>
    <mergeCell ref="F119:F120"/>
    <mergeCell ref="G119:G120"/>
    <mergeCell ref="I119:I120"/>
    <mergeCell ref="F111:F113"/>
    <mergeCell ref="B139:C139"/>
    <mergeCell ref="G111:G113"/>
    <mergeCell ref="F115:F116"/>
    <mergeCell ref="G115:G116"/>
    <mergeCell ref="F46:F47"/>
    <mergeCell ref="G46:G47"/>
    <mergeCell ref="I46:I47"/>
    <mergeCell ref="F91:F92"/>
    <mergeCell ref="G91:G92"/>
    <mergeCell ref="I91:I92"/>
    <mergeCell ref="F87:F88"/>
    <mergeCell ref="G87:G88"/>
    <mergeCell ref="I87:I88"/>
    <mergeCell ref="G61:G63"/>
    <mergeCell ref="I61:I63"/>
    <mergeCell ref="F44:F45"/>
    <mergeCell ref="G44:G45"/>
    <mergeCell ref="I44:I45"/>
    <mergeCell ref="F82:F84"/>
    <mergeCell ref="G82:G84"/>
    <mergeCell ref="I82:I84"/>
    <mergeCell ref="F70:F71"/>
    <mergeCell ref="G70:G71"/>
    <mergeCell ref="I70:I71"/>
    <mergeCell ref="F75:F76"/>
    <mergeCell ref="G75:G76"/>
    <mergeCell ref="I75:I76"/>
    <mergeCell ref="F57:F58"/>
    <mergeCell ref="G57:G58"/>
    <mergeCell ref="I57:I58"/>
    <mergeCell ref="F61:F63"/>
    <mergeCell ref="B27:C27"/>
    <mergeCell ref="I111:I113"/>
    <mergeCell ref="I205:I206"/>
    <mergeCell ref="B19:C19"/>
    <mergeCell ref="B21:C21"/>
    <mergeCell ref="B22:C22"/>
    <mergeCell ref="B24:C24"/>
    <mergeCell ref="B26:C26"/>
    <mergeCell ref="F66:F67"/>
    <mergeCell ref="G66:G67"/>
    <mergeCell ref="I66:I67"/>
    <mergeCell ref="B28:C28"/>
    <mergeCell ref="B35:C35"/>
    <mergeCell ref="B36:C36"/>
    <mergeCell ref="B38:C38"/>
    <mergeCell ref="B39:C39"/>
  </mergeCells>
  <conditionalFormatting sqref="D101">
    <cfRule type="expression" dxfId="8" priority="10">
      <formula>$B101&lt;&gt;""</formula>
    </cfRule>
    <cfRule type="expression" dxfId="7" priority="11">
      <formula>$B101&lt;&gt;""</formula>
    </cfRule>
  </conditionalFormatting>
  <conditionalFormatting sqref="D263">
    <cfRule type="expression" dxfId="6" priority="8">
      <formula>$B263&lt;&gt;""</formula>
    </cfRule>
    <cfRule type="expression" dxfId="5" priority="9">
      <formula>$B263&lt;&gt;""</formula>
    </cfRule>
  </conditionalFormatting>
  <conditionalFormatting sqref="E264">
    <cfRule type="expression" dxfId="4" priority="7">
      <formula>$D$242&lt;&gt;""</formula>
    </cfRule>
  </conditionalFormatting>
  <conditionalFormatting sqref="A264">
    <cfRule type="expression" dxfId="3" priority="6">
      <formula>$D$242&lt;&gt;""</formula>
    </cfRule>
  </conditionalFormatting>
  <conditionalFormatting sqref="G18">
    <cfRule type="expression" dxfId="2" priority="5">
      <formula>$D$19="Ja"</formula>
    </cfRule>
  </conditionalFormatting>
  <conditionalFormatting sqref="G293:I293">
    <cfRule type="expression" dxfId="1" priority="3">
      <formula>$G$293="Bekreftelse kan gis (ingen feil er avdekket)"</formula>
    </cfRule>
    <cfRule type="expression" dxfId="0" priority="4">
      <formula>$G$293="Det er avdekket feil. Forholdene må korrigeres og kontrollhandling må utføres på nytt"</formula>
    </cfRule>
  </conditionalFormatting>
  <pageMargins left="0.7" right="0.7" top="0.75" bottom="0.75" header="0.3" footer="0.3"/>
  <pageSetup orientation="portrait" r:id="rId1"/>
  <ignoredErrors>
    <ignoredError sqref="F138:F1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386A754C-74D8-4B12-98C6-048C0816E835}">
          <x14:formula1>
            <xm:f>Lister!$O$2:$O$22</xm:f>
          </x14:formula1>
          <xm:sqref>D10</xm:sqref>
        </x14:dataValidation>
        <x14:dataValidation type="list" allowBlank="1" showInputMessage="1" showErrorMessage="1" xr:uid="{5A0EA72C-10D9-4212-955B-FE1D7A5BC45A}">
          <x14:formula1>
            <xm:f>Lister!$L$2:$L$6</xm:f>
          </x14:formula1>
          <xm:sqref>D9</xm:sqref>
        </x14:dataValidation>
        <x14:dataValidation type="list" allowBlank="1" showInputMessage="1" showErrorMessage="1" xr:uid="{D2DA0E55-D785-42BD-9F61-333AEA36667A}">
          <x14:formula1>
            <xm:f>Lister!$K$1:$K$2</xm:f>
          </x14:formula1>
          <xm:sqref>D11:D12</xm:sqref>
        </x14:dataValidation>
        <x14:dataValidation type="list" allowBlank="1" showInputMessage="1" showErrorMessage="1" xr:uid="{44EB4C1D-59CC-44CC-A79E-6DE42C51A2CB}">
          <x14:formula1>
            <xm:f>Lister!$A$2:$A$4</xm:f>
          </x14:formula1>
          <xm:sqref>G10:G12 G91:G92 G44:G47 G50</xm:sqref>
        </x14:dataValidation>
        <x14:dataValidation type="list" allowBlank="1" showInputMessage="1" showErrorMessage="1" xr:uid="{4CBAEE4F-D824-4581-8586-68DC7EF959DF}">
          <x14:formula1>
            <xm:f>Lister!$S$1:$S$2</xm:f>
          </x14:formula1>
          <xm:sqref>G18</xm:sqref>
        </x14:dataValidation>
        <x14:dataValidation type="list" allowBlank="1" showInputMessage="1" showErrorMessage="1" xr:uid="{1832A0C9-31DA-47C9-B640-C95067D2F246}">
          <x14:formula1>
            <xm:f>Lister!$Q$2:$Q$3</xm:f>
          </x14:formula1>
          <xm:sqref>G19 G79 G245:G248 G240 G215:G217 G211 G207:G208 G205 G183:G196 G167:G168 G146:G150 G164 G257 G154 G138:G139 G260:G261 G255 G22:G23 G253 G124 G119 G115 G111 G100 G98 G96 G82:G84 G61:G63 G87:G88 G251 G75:G76 G70:G71 G66:G67 G57:G58 G27 G126 G133 G135:G136 G129 G52</xm:sqref>
        </x14:dataValidation>
        <x14:dataValidation type="list" allowBlank="1" showInputMessage="1" showErrorMessage="1" xr:uid="{130334DF-1CF1-4A1C-A9DC-0FEF59FCAAF4}">
          <x14:formula1>
            <xm:f>Lister!$Y$1:$Y$2</xm:f>
          </x14:formula1>
          <xm:sqref>G293:I293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66EE-E1BB-4532-BEDB-703AA0E4EF1B}">
  <dimension ref="A1:Z22"/>
  <sheetViews>
    <sheetView showGridLines="0" topLeftCell="D1" workbookViewId="0">
      <selection activeCell="I18" sqref="I18"/>
    </sheetView>
  </sheetViews>
  <sheetFormatPr baseColWidth="10" defaultRowHeight="14.25" x14ac:dyDescent="0.45"/>
  <cols>
    <col min="1" max="1" width="13.86328125" customWidth="1"/>
    <col min="2" max="2" width="25.59765625" bestFit="1" customWidth="1"/>
    <col min="3" max="3" width="40.86328125" bestFit="1" customWidth="1"/>
    <col min="4" max="4" width="25.3984375" style="386" customWidth="1"/>
    <col min="5" max="5" width="39.265625" style="386" bestFit="1" customWidth="1"/>
    <col min="6" max="6" width="25.3984375" style="386" customWidth="1"/>
    <col min="7" max="7" width="41.73046875" style="386" customWidth="1"/>
    <col min="8" max="8" width="21.265625" style="386" customWidth="1"/>
    <col min="9" max="9" width="49.59765625" style="386" bestFit="1" customWidth="1"/>
    <col min="10" max="10" width="18.1328125" style="386" customWidth="1"/>
    <col min="11" max="11" width="30.1328125" customWidth="1"/>
    <col min="12" max="12" width="23.73046875" customWidth="1"/>
    <col min="14" max="14" width="32.1328125" bestFit="1" customWidth="1"/>
    <col min="15" max="15" width="76.265625" bestFit="1" customWidth="1"/>
    <col min="16" max="16" width="29.1328125" bestFit="1" customWidth="1"/>
    <col min="17" max="17" width="16.59765625" bestFit="1" customWidth="1"/>
    <col min="18" max="18" width="26" bestFit="1" customWidth="1"/>
    <col min="19" max="19" width="29.59765625" customWidth="1"/>
    <col min="20" max="20" width="9.86328125" customWidth="1"/>
    <col min="22" max="22" width="10.73046875" style="135" bestFit="1" customWidth="1"/>
    <col min="23" max="23" width="16" style="135" customWidth="1"/>
    <col min="24" max="24" width="16.86328125" style="135" customWidth="1"/>
    <col min="25" max="25" width="73.1328125" bestFit="1" customWidth="1"/>
  </cols>
  <sheetData>
    <row r="1" spans="1:26" x14ac:dyDescent="0.45">
      <c r="A1" t="s">
        <v>21</v>
      </c>
      <c r="B1" t="s">
        <v>22</v>
      </c>
      <c r="C1" t="s">
        <v>331</v>
      </c>
      <c r="D1" s="386" t="s">
        <v>323</v>
      </c>
      <c r="E1" t="s">
        <v>332</v>
      </c>
      <c r="F1" s="386" t="s">
        <v>323</v>
      </c>
      <c r="G1" t="s">
        <v>373</v>
      </c>
      <c r="H1" s="386" t="s">
        <v>323</v>
      </c>
      <c r="I1" s="386" t="s">
        <v>377</v>
      </c>
      <c r="J1" s="386" t="s">
        <v>323</v>
      </c>
      <c r="K1" t="s">
        <v>0</v>
      </c>
      <c r="L1" t="s">
        <v>40</v>
      </c>
      <c r="M1" t="s">
        <v>0</v>
      </c>
      <c r="N1" t="s">
        <v>0</v>
      </c>
      <c r="O1" t="s">
        <v>46</v>
      </c>
      <c r="P1" t="s">
        <v>73</v>
      </c>
      <c r="Q1" t="s">
        <v>69</v>
      </c>
      <c r="R1" t="s">
        <v>0</v>
      </c>
      <c r="S1" t="s">
        <v>116</v>
      </c>
      <c r="U1" s="136"/>
      <c r="V1" s="157" t="s">
        <v>153</v>
      </c>
      <c r="W1" s="157" t="s">
        <v>154</v>
      </c>
      <c r="X1" s="157" t="s">
        <v>155</v>
      </c>
      <c r="Y1" t="s">
        <v>271</v>
      </c>
    </row>
    <row r="2" spans="1:26" x14ac:dyDescent="0.45">
      <c r="A2" t="s">
        <v>0</v>
      </c>
      <c r="B2" t="s">
        <v>143</v>
      </c>
      <c r="C2" t="s">
        <v>327</v>
      </c>
      <c r="D2" s="386">
        <v>4.2999999999999997E-2</v>
      </c>
      <c r="E2" t="s">
        <v>327</v>
      </c>
      <c r="F2" s="386">
        <v>4.2999999999999997E-2</v>
      </c>
      <c r="G2" t="s">
        <v>327</v>
      </c>
      <c r="H2" s="386">
        <v>4.2999999999999997E-2</v>
      </c>
      <c r="I2" t="s">
        <v>327</v>
      </c>
      <c r="J2" s="386">
        <v>4.2999999999999997E-2</v>
      </c>
      <c r="K2" t="s">
        <v>1</v>
      </c>
      <c r="L2" t="s">
        <v>42</v>
      </c>
      <c r="M2" t="s">
        <v>1</v>
      </c>
      <c r="N2" t="s">
        <v>1</v>
      </c>
      <c r="O2" t="s">
        <v>47</v>
      </c>
      <c r="P2" t="s">
        <v>71</v>
      </c>
      <c r="Q2" t="s">
        <v>78</v>
      </c>
      <c r="R2" t="s">
        <v>107</v>
      </c>
      <c r="S2" t="s">
        <v>117</v>
      </c>
      <c r="U2" t="s">
        <v>152</v>
      </c>
      <c r="V2" s="135">
        <f>V3*1000</f>
        <v>250000</v>
      </c>
      <c r="W2" s="135">
        <f t="shared" ref="W2:X2" si="0">W3*1000</f>
        <v>536140000000</v>
      </c>
      <c r="X2" s="135">
        <f t="shared" si="0"/>
        <v>461080400000</v>
      </c>
      <c r="Y2" t="s">
        <v>272</v>
      </c>
      <c r="Z2" t="s">
        <v>0</v>
      </c>
    </row>
    <row r="3" spans="1:26" x14ac:dyDescent="0.45">
      <c r="A3" t="s">
        <v>1</v>
      </c>
      <c r="B3" t="s">
        <v>144</v>
      </c>
      <c r="C3" t="s">
        <v>328</v>
      </c>
      <c r="D3" s="386">
        <v>4.2999999999999997E-2</v>
      </c>
      <c r="E3" t="s">
        <v>328</v>
      </c>
      <c r="F3" s="386">
        <v>4.2999999999999997E-2</v>
      </c>
      <c r="G3" t="s">
        <v>328</v>
      </c>
      <c r="H3" s="386">
        <v>4.2999999999999997E-2</v>
      </c>
      <c r="I3" t="s">
        <v>328</v>
      </c>
      <c r="J3" s="386">
        <v>4.2999999999999997E-2</v>
      </c>
      <c r="L3" t="s">
        <v>41</v>
      </c>
      <c r="M3" t="s">
        <v>5</v>
      </c>
      <c r="N3" t="s">
        <v>19</v>
      </c>
      <c r="O3" t="s">
        <v>48</v>
      </c>
      <c r="P3" t="s">
        <v>72</v>
      </c>
      <c r="Q3" t="s">
        <v>77</v>
      </c>
      <c r="R3" t="s">
        <v>106</v>
      </c>
      <c r="U3" t="s">
        <v>149</v>
      </c>
      <c r="V3" s="135">
        <v>250</v>
      </c>
      <c r="W3" s="135">
        <v>536140000</v>
      </c>
      <c r="X3" s="135">
        <v>461080400</v>
      </c>
      <c r="Z3" t="s">
        <v>183</v>
      </c>
    </row>
    <row r="4" spans="1:26" x14ac:dyDescent="0.45">
      <c r="A4" t="s">
        <v>77</v>
      </c>
      <c r="B4" s="385" t="s">
        <v>372</v>
      </c>
      <c r="C4" s="385" t="s">
        <v>329</v>
      </c>
      <c r="D4" s="387">
        <v>3.7999999999999999E-2</v>
      </c>
      <c r="E4" s="385" t="s">
        <v>329</v>
      </c>
      <c r="F4" s="387">
        <v>3.7999999999999999E-2</v>
      </c>
      <c r="G4" s="385" t="s">
        <v>329</v>
      </c>
      <c r="H4" s="387">
        <v>3.7999999999999999E-2</v>
      </c>
      <c r="I4" s="385" t="s">
        <v>329</v>
      </c>
      <c r="J4" s="387">
        <v>3.7999999999999999E-2</v>
      </c>
      <c r="L4" t="s">
        <v>43</v>
      </c>
      <c r="O4" t="s">
        <v>49</v>
      </c>
      <c r="P4" t="s">
        <v>1</v>
      </c>
      <c r="U4" t="s">
        <v>150</v>
      </c>
      <c r="V4" s="135">
        <v>50</v>
      </c>
      <c r="W4" s="135">
        <v>107228000</v>
      </c>
      <c r="X4" s="135">
        <v>107228000</v>
      </c>
      <c r="Z4" t="s">
        <v>1</v>
      </c>
    </row>
    <row r="5" spans="1:26" x14ac:dyDescent="0.45">
      <c r="B5" s="385" t="s">
        <v>376</v>
      </c>
      <c r="C5" s="385" t="s">
        <v>330</v>
      </c>
      <c r="D5" s="387">
        <v>3.7999999999999999E-2</v>
      </c>
      <c r="E5" s="385" t="s">
        <v>330</v>
      </c>
      <c r="F5" s="387">
        <v>3.7999999999999999E-2</v>
      </c>
      <c r="G5" s="385" t="s">
        <v>330</v>
      </c>
      <c r="H5" s="387">
        <v>3.7999999999999999E-2</v>
      </c>
      <c r="I5" s="385" t="s">
        <v>330</v>
      </c>
      <c r="J5" s="387">
        <v>3.7999999999999999E-2</v>
      </c>
      <c r="L5" t="s">
        <v>44</v>
      </c>
      <c r="O5" t="s">
        <v>50</v>
      </c>
      <c r="U5" t="s">
        <v>151</v>
      </c>
      <c r="V5" s="135">
        <v>10</v>
      </c>
      <c r="W5" s="135">
        <v>21445600</v>
      </c>
      <c r="X5" s="135">
        <v>21445600</v>
      </c>
    </row>
    <row r="6" spans="1:26" x14ac:dyDescent="0.45">
      <c r="B6" s="385"/>
      <c r="C6" s="385" t="s">
        <v>324</v>
      </c>
      <c r="D6" s="387">
        <v>3.2000000000000001E-2</v>
      </c>
      <c r="E6" s="385" t="s">
        <v>324</v>
      </c>
      <c r="F6" s="387">
        <v>3.3000000000000002E-2</v>
      </c>
      <c r="G6" s="387" t="s">
        <v>374</v>
      </c>
      <c r="H6" s="387">
        <v>4.2000000000000003E-2</v>
      </c>
      <c r="I6" s="387" t="s">
        <v>374</v>
      </c>
      <c r="J6" s="387">
        <v>4.2000000000000003E-2</v>
      </c>
      <c r="L6" t="s">
        <v>45</v>
      </c>
      <c r="O6" t="s">
        <v>51</v>
      </c>
    </row>
    <row r="7" spans="1:26" x14ac:dyDescent="0.45">
      <c r="C7" s="385" t="s">
        <v>325</v>
      </c>
      <c r="D7" s="387">
        <v>3.2000000000000001E-2</v>
      </c>
      <c r="E7" s="385" t="s">
        <v>325</v>
      </c>
      <c r="F7" s="387">
        <v>3.3000000000000002E-2</v>
      </c>
      <c r="G7" s="387" t="s">
        <v>375</v>
      </c>
      <c r="H7" s="387">
        <v>4.2000000000000003E-2</v>
      </c>
      <c r="I7" s="387" t="s">
        <v>375</v>
      </c>
      <c r="J7" s="387">
        <v>4.2000000000000003E-2</v>
      </c>
      <c r="O7" t="s">
        <v>52</v>
      </c>
    </row>
    <row r="8" spans="1:26" x14ac:dyDescent="0.45">
      <c r="G8" s="385" t="s">
        <v>324</v>
      </c>
      <c r="H8" s="387">
        <v>3.5999999999999997E-2</v>
      </c>
      <c r="I8" s="387" t="s">
        <v>378</v>
      </c>
      <c r="J8" s="387">
        <v>5.1999999999999998E-2</v>
      </c>
      <c r="O8" t="s">
        <v>53</v>
      </c>
    </row>
    <row r="9" spans="1:26" x14ac:dyDescent="0.45">
      <c r="G9" s="385" t="s">
        <v>325</v>
      </c>
      <c r="H9" s="387">
        <v>3.5999999999999997E-2</v>
      </c>
      <c r="I9" s="387" t="s">
        <v>379</v>
      </c>
      <c r="J9" s="387">
        <v>5.1999999999999998E-2</v>
      </c>
      <c r="O9" t="s">
        <v>54</v>
      </c>
    </row>
    <row r="10" spans="1:26" x14ac:dyDescent="0.45">
      <c r="I10" s="385" t="s">
        <v>324</v>
      </c>
      <c r="J10" s="386">
        <v>4.4999999999999998E-2</v>
      </c>
      <c r="O10" t="s">
        <v>55</v>
      </c>
    </row>
    <row r="11" spans="1:26" x14ac:dyDescent="0.45">
      <c r="I11" s="385" t="s">
        <v>325</v>
      </c>
      <c r="J11" s="386">
        <v>4.4999999999999998E-2</v>
      </c>
      <c r="O11" t="s">
        <v>56</v>
      </c>
    </row>
    <row r="12" spans="1:26" x14ac:dyDescent="0.45">
      <c r="O12" t="s">
        <v>57</v>
      </c>
    </row>
    <row r="13" spans="1:26" x14ac:dyDescent="0.45">
      <c r="O13" t="s">
        <v>58</v>
      </c>
    </row>
    <row r="14" spans="1:26" x14ac:dyDescent="0.45">
      <c r="O14" t="s">
        <v>59</v>
      </c>
    </row>
    <row r="15" spans="1:26" x14ac:dyDescent="0.45">
      <c r="O15" t="s">
        <v>60</v>
      </c>
    </row>
    <row r="16" spans="1:26" x14ac:dyDescent="0.45">
      <c r="O16" t="s">
        <v>61</v>
      </c>
    </row>
    <row r="17" spans="15:15" x14ac:dyDescent="0.45">
      <c r="O17" t="s">
        <v>62</v>
      </c>
    </row>
    <row r="18" spans="15:15" x14ac:dyDescent="0.45">
      <c r="O18" t="s">
        <v>63</v>
      </c>
    </row>
    <row r="19" spans="15:15" x14ac:dyDescent="0.45">
      <c r="O19" t="s">
        <v>64</v>
      </c>
    </row>
    <row r="20" spans="15:15" x14ac:dyDescent="0.45">
      <c r="O20" t="s">
        <v>65</v>
      </c>
    </row>
    <row r="21" spans="15:15" x14ac:dyDescent="0.45">
      <c r="O21" t="s">
        <v>66</v>
      </c>
    </row>
    <row r="22" spans="15:15" x14ac:dyDescent="0.45">
      <c r="O22" t="s">
        <v>67</v>
      </c>
    </row>
  </sheetData>
  <phoneticPr fontId="1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88034474CF5E4885265FCF1270F314" ma:contentTypeVersion="14" ma:contentTypeDescription="Opprett et nytt dokument." ma:contentTypeScope="" ma:versionID="f97a292368d93e75b3542eb4ec0dfd34">
  <xsd:schema xmlns:xsd="http://www.w3.org/2001/XMLSchema" xmlns:xs="http://www.w3.org/2001/XMLSchema" xmlns:p="http://schemas.microsoft.com/office/2006/metadata/properties" xmlns:ns2="5042e93d-9b3e-4009-93bb-a04d34aab9a1" xmlns:ns3="e3f87b39-762e-410c-989d-a6e4082a9a1c" targetNamespace="http://schemas.microsoft.com/office/2006/metadata/properties" ma:root="true" ma:fieldsID="1873d40db6d17adb6193d69ea348a4e9" ns2:_="" ns3:_="">
    <xsd:import namespace="5042e93d-9b3e-4009-93bb-a04d34aab9a1"/>
    <xsd:import namespace="e3f87b39-762e-410c-989d-a6e4082a9a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Dato"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2e93d-9b3e-4009-93bb-a04d34aab9a1"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f87b39-762e-410c-989d-a6e4082a9a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o" ma:index="20" nillable="true" ma:displayName="Dato" ma:default="[today]" ma:format="DateTime" ma:internalName="Dato">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o xmlns="e3f87b39-762e-410c-989d-a6e4082a9a1c">2021-03-29T14:36:34+00:00</Dato>
  </documentManagement>
</p:properties>
</file>

<file path=customXml/itemProps1.xml><?xml version="1.0" encoding="utf-8"?>
<ds:datastoreItem xmlns:ds="http://schemas.openxmlformats.org/officeDocument/2006/customXml" ds:itemID="{F9415450-814E-4EC4-A87B-E2A68C885E20}">
  <ds:schemaRefs>
    <ds:schemaRef ds:uri="http://schemas.microsoft.com/sharepoint/v3/contenttype/forms"/>
  </ds:schemaRefs>
</ds:datastoreItem>
</file>

<file path=customXml/itemProps2.xml><?xml version="1.0" encoding="utf-8"?>
<ds:datastoreItem xmlns:ds="http://schemas.openxmlformats.org/officeDocument/2006/customXml" ds:itemID="{ACF5F5ED-01F6-4010-8693-701E4EA25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2e93d-9b3e-4009-93bb-a04d34aab9a1"/>
    <ds:schemaRef ds:uri="e3f87b39-762e-410c-989d-a6e4082a9a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0AFA3E-3CC7-4547-BBA9-CBD37D934BAA}">
  <ds:schemaRefs>
    <ds:schemaRef ds:uri="http://purl.org/dc/elements/1.1/"/>
    <ds:schemaRef ds:uri="http://schemas.microsoft.com/office/2006/metadata/properties"/>
    <ds:schemaRef ds:uri="http://purl.org/dc/terms/"/>
    <ds:schemaRef ds:uri="6bd99678-e855-4272-a3e9-1bf68ffbb204"/>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e3f87b39-762e-410c-989d-a6e4082a9a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Forklaring eierstruktur</vt:lpstr>
      <vt:lpstr>Eierstruktur</vt:lpstr>
      <vt:lpstr>Beregningsmodell</vt:lpstr>
      <vt:lpstr>Varespesifikasjon</vt:lpstr>
      <vt:lpstr>Kontrollhandlinger</vt:lpstr>
      <vt:lpstr>Lister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Austheim</dc:creator>
  <cp:lastModifiedBy>Svein Austheim</cp:lastModifiedBy>
  <cp:lastPrinted>2020-04-03T10:31:04Z</cp:lastPrinted>
  <dcterms:created xsi:type="dcterms:W3CDTF">2020-04-02T18:27:23Z</dcterms:created>
  <dcterms:modified xsi:type="dcterms:W3CDTF">2021-11-22T09:12:00Z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0x010100F188034474CF5E4885265FCF1270F314</vt:lpwstr>
  </property>
</Properties>
</file>